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10193\Desktop\"/>
    </mc:Choice>
  </mc:AlternateContent>
  <bookViews>
    <workbookView xWindow="-120" yWindow="-120" windowWidth="29040" windowHeight="15840" tabRatio="801"/>
  </bookViews>
  <sheets>
    <sheet name="1_punktas" sheetId="1" r:id="rId1"/>
    <sheet name="ITVP pasiulymas" sheetId="2" state="hidden" r:id="rId2"/>
    <sheet name="RPD ivedimas" sheetId="13" state="hidden" r:id="rId3"/>
    <sheet name="RPD tikrinimas" sheetId="3" state="hidden" r:id="rId4"/>
    <sheet name="klaidos" sheetId="12" state="hidden" r:id="rId5"/>
    <sheet name="sąrašai" sheetId="7" state="hidden" r:id="rId6"/>
    <sheet name="2_punktas" sheetId="15" r:id="rId7"/>
    <sheet name="3_punktas" sheetId="19" r:id="rId8"/>
    <sheet name="Veiklos" sheetId="10" state="hidden" r:id="rId9"/>
    <sheet name="4_punktas" sheetId="20" r:id="rId10"/>
    <sheet name="5 lentelė" sheetId="14" state="hidden" r:id="rId11"/>
    <sheet name="6-7 lentelės" sheetId="5" state="hidden" r:id="rId12"/>
    <sheet name="Lapas4" sheetId="17" state="hidden" r:id="rId13"/>
    <sheet name="generuojama ITVP forma" sheetId="6" state="hidden" r:id="rId14"/>
    <sheet name="VRM tikrinimas" sheetId="4" state="hidden" r:id="rId15"/>
    <sheet name="checklist" sheetId="8" state="hidden" r:id="rId16"/>
    <sheet name="savivaldybės" sheetId="9" state="hidden" r:id="rId17"/>
    <sheet name="Rodikliai" sheetId="11" state="hidden" r:id="rId18"/>
  </sheets>
  <externalReferences>
    <externalReference r:id="rId19"/>
  </externalReferences>
  <definedNames>
    <definedName name="–">sąrašai!$E$71</definedName>
    <definedName name="_xlnm._FilterDatabase" localSheetId="0" hidden="1">'1_punktas'!$A$42:$AD$42</definedName>
    <definedName name="_xlnm._FilterDatabase" localSheetId="3" hidden="1">'RPD tikrinimas'!$A$12:$F$103</definedName>
    <definedName name="Alytaus">sąrašai!$D$90:$E$90</definedName>
    <definedName name="Alytaus_regionas">OFFSET(savivaldybės!$C$2,0,0,COUNTA(savivaldybės!$C$2:$C$12),1)</definedName>
    <definedName name="AM">sąrašai!$E$6:$E$14</definedName>
    <definedName name="AMV">Veiklos!$G$3:$G$27</definedName>
    <definedName name="EM">sąrašai!$E$15:$E$16</definedName>
    <definedName name="EMV">Veiklos!$H$3:$H$8</definedName>
    <definedName name="Kauno">sąrašai!$D$91:$F$91</definedName>
    <definedName name="Kauno_regionas">savivaldybės!$D$2:$D$12</definedName>
    <definedName name="Klaipėdos">sąrašai!$D$92:$F$92</definedName>
    <definedName name="Klaipėdos_regionas">savivaldybės!$E$2:$E$12</definedName>
    <definedName name="KM">sąrašai!$E$17:$E$23</definedName>
    <definedName name="KMV">Veiklos!$I$3:$I$8</definedName>
    <definedName name="Marijampolės">sąrašai!$D$93:$E$93</definedName>
    <definedName name="Marijampolės_regionas">savivaldybės!$F$2:$F$12</definedName>
    <definedName name="Min_veikla">Veiklos!$D$59:$D$69</definedName>
    <definedName name="Ministerija">sąrašai!$D$104:$D$114</definedName>
    <definedName name="Panevėžio">sąrašai!$D$94:$F$94</definedName>
    <definedName name="Panevėžio_regionas">savivaldybės!$G$2:$G$12</definedName>
    <definedName name="pinigai">OFFSET(sąrašai!$I$124,0,0,COUNT(sąrašai!$H$124:$H$129),1)</definedName>
    <definedName name="rodikliai">OFFSET(sąrašai!$I$152,0,0,COUNT(sąrašai!$H$152:$H$157),1)</definedName>
    <definedName name="SADM">sąrašai!$E$24:$E$28</definedName>
    <definedName name="SADMV">Veiklos!$J$3:$J$10</definedName>
    <definedName name="SAM">sąrašai!$E$42:$E$46</definedName>
    <definedName name="SAMV">Veiklos!$L$3:$L$8</definedName>
    <definedName name="savivaldybes">OFFSET(savivaldybės!$B$2,0,0,COUNT(savivaldybės!$A$2:$A$11),1)</definedName>
    <definedName name="SM">sąrašai!$E$29:$E$41</definedName>
    <definedName name="SMV">Veiklos!$K$3:$K$54</definedName>
    <definedName name="Šiaulių">sąrašai!$D$95:$F$95</definedName>
    <definedName name="Šiaulių_regionas">savivaldybės!$H$2:$H$12</definedName>
    <definedName name="ŠMM">sąrašai!$E$47:$E$52</definedName>
    <definedName name="ŠMMV">Veiklos!$M$3:$M$10</definedName>
    <definedName name="Tauragės">sąrašai!$D$97:$E$97</definedName>
    <definedName name="Tauragės_regionas">savivaldybės!$I$2:$I$12</definedName>
    <definedName name="Telšių">sąrašai!$D$96:$E$96</definedName>
    <definedName name="Telšių_regionas">savivaldybės!$J$2:$J$12</definedName>
    <definedName name="terminai">OFFSET(sąrašai!$I$144,0,0,COUNT(sąrašai!$H$144:$H$149),1)</definedName>
    <definedName name="ŪM">sąrašai!$E$53:$E$56</definedName>
    <definedName name="ŪMV">Veiklos!$N$3:$N$12</definedName>
    <definedName name="Utenos">sąrašai!$D$98:$E$98</definedName>
    <definedName name="Utenos_regionas">savivaldybės!$K$2:$K$12</definedName>
    <definedName name="–V">Veiklos!$Q$3:$Q$54</definedName>
    <definedName name="Vilniaus">sąrašai!$D$99:$F$99</definedName>
    <definedName name="Vilniaus_regionas">savivaldybės!$L$2:$L$12</definedName>
    <definedName name="VRM">sąrašai!$E$57:$E$65</definedName>
    <definedName name="VRMV">Veiklos!$O$3:$O$26</definedName>
    <definedName name="ŽŪM">sąrašai!$E$66:$E$69</definedName>
    <definedName name="ŽŪMV">Veiklos!$P$3:$P$36</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5" i="1" l="1"/>
  <c r="D91" i="1" l="1"/>
  <c r="D92" i="1"/>
  <c r="B6" i="1"/>
  <c r="C59" i="1" l="1"/>
  <c r="D80" i="1"/>
  <c r="E101" i="1" l="1"/>
  <c r="B61" i="14" l="1"/>
  <c r="B60" i="14"/>
  <c r="B59" i="14"/>
  <c r="B58" i="14"/>
  <c r="B57" i="14"/>
  <c r="B49" i="14"/>
  <c r="B46" i="14"/>
  <c r="B41" i="14"/>
  <c r="B37" i="14"/>
  <c r="B25" i="14"/>
  <c r="B21" i="14"/>
  <c r="B15" i="14"/>
  <c r="B14" i="14"/>
  <c r="B15" i="5"/>
  <c r="C15" i="5"/>
  <c r="D15" i="5"/>
  <c r="E15" i="5"/>
  <c r="F15" i="5"/>
  <c r="G15" i="5"/>
  <c r="H15" i="5"/>
  <c r="I15" i="5"/>
  <c r="J15" i="5"/>
  <c r="K15" i="5"/>
  <c r="B16" i="5"/>
  <c r="C16" i="5"/>
  <c r="D16" i="5"/>
  <c r="E16" i="5"/>
  <c r="F16" i="5"/>
  <c r="G16" i="5"/>
  <c r="H16" i="5"/>
  <c r="I16" i="5"/>
  <c r="J16" i="5"/>
  <c r="K16" i="5"/>
  <c r="C14" i="5"/>
  <c r="D14" i="5"/>
  <c r="E14" i="5"/>
  <c r="F14" i="5"/>
  <c r="G14" i="5"/>
  <c r="H14" i="5"/>
  <c r="I14" i="5"/>
  <c r="J14" i="5"/>
  <c r="K14" i="5"/>
  <c r="B14" i="5"/>
  <c r="C10" i="5"/>
  <c r="C17" i="5" s="1"/>
  <c r="L135" i="1" l="1"/>
  <c r="D9" i="3" l="1"/>
  <c r="J107" i="3" l="1"/>
  <c r="J109" i="3"/>
  <c r="I32" i="13"/>
  <c r="N95" i="3" l="1"/>
  <c r="J66" i="1" l="1"/>
  <c r="B1" i="9" s="1"/>
  <c r="C8" i="9"/>
  <c r="D11" i="9"/>
  <c r="K6" i="1"/>
  <c r="K12" i="1"/>
  <c r="N12" i="1" s="1"/>
  <c r="N14" i="1" s="1"/>
  <c r="K13" i="1"/>
  <c r="M13" i="1"/>
  <c r="H17" i="1"/>
  <c r="K18" i="1"/>
  <c r="L18" i="1" s="1"/>
  <c r="M18" i="1" s="1"/>
  <c r="N18" i="1" s="1"/>
  <c r="H21" i="1"/>
  <c r="K30" i="1"/>
  <c r="K32" i="1"/>
  <c r="K91" i="3" s="1"/>
  <c r="L32" i="1"/>
  <c r="M32" i="1"/>
  <c r="K33" i="1"/>
  <c r="H34" i="1"/>
  <c r="L42" i="1"/>
  <c r="M42" i="1"/>
  <c r="L43" i="1"/>
  <c r="M43" i="1"/>
  <c r="L44" i="1"/>
  <c r="M44" i="1"/>
  <c r="M45" i="1"/>
  <c r="N45" i="1" s="1"/>
  <c r="O45" i="1" s="1"/>
  <c r="J46" i="1"/>
  <c r="K47" i="1"/>
  <c r="M47" i="1"/>
  <c r="K48" i="1"/>
  <c r="M48" i="1"/>
  <c r="M49" i="1"/>
  <c r="K50" i="1"/>
  <c r="H58" i="1"/>
  <c r="F59" i="1"/>
  <c r="M59" i="1"/>
  <c r="O59" i="1" s="1"/>
  <c r="N59" i="1"/>
  <c r="P59" i="1" s="1"/>
  <c r="H60" i="1"/>
  <c r="M62" i="1"/>
  <c r="N62" i="1"/>
  <c r="P62" i="1"/>
  <c r="Q62" i="1"/>
  <c r="T62" i="1"/>
  <c r="M63" i="1"/>
  <c r="M64" i="1" s="1"/>
  <c r="H64" i="1"/>
  <c r="H65" i="1"/>
  <c r="L65" i="1"/>
  <c r="H66" i="1"/>
  <c r="L66" i="1"/>
  <c r="H67" i="1"/>
  <c r="I67" i="1"/>
  <c r="D90" i="1" s="1"/>
  <c r="H68" i="1"/>
  <c r="H69" i="1"/>
  <c r="H70" i="1"/>
  <c r="K79" i="1"/>
  <c r="L79" i="1"/>
  <c r="J77" i="1"/>
  <c r="I84" i="1"/>
  <c r="J84" i="1"/>
  <c r="I85" i="1"/>
  <c r="J85" i="1"/>
  <c r="I87" i="1"/>
  <c r="J87" i="1"/>
  <c r="J88" i="1"/>
  <c r="J89" i="1"/>
  <c r="K89" i="1"/>
  <c r="L89" i="1"/>
  <c r="J91" i="1"/>
  <c r="K91" i="1"/>
  <c r="L91" i="1"/>
  <c r="M91" i="1"/>
  <c r="M89" i="1" s="1"/>
  <c r="G47" i="12"/>
  <c r="K94" i="1"/>
  <c r="L94" i="1"/>
  <c r="K95" i="1"/>
  <c r="L95" i="1"/>
  <c r="J99" i="1"/>
  <c r="H101" i="1"/>
  <c r="E103" i="1"/>
  <c r="H103" i="1"/>
  <c r="E105" i="1"/>
  <c r="H105" i="1"/>
  <c r="J115" i="1"/>
  <c r="D115" i="1" s="1"/>
  <c r="L115" i="1" s="1"/>
  <c r="J116" i="1"/>
  <c r="D116" i="1" s="1"/>
  <c r="L117" i="1"/>
  <c r="J118" i="1"/>
  <c r="D118" i="1" s="1"/>
  <c r="J119" i="1"/>
  <c r="L120" i="1"/>
  <c r="J121" i="1"/>
  <c r="D121" i="1" s="1"/>
  <c r="L121" i="1" s="1"/>
  <c r="J122" i="1"/>
  <c r="L123" i="1"/>
  <c r="J124" i="1"/>
  <c r="D124" i="1" s="1"/>
  <c r="J125" i="1"/>
  <c r="D125" i="1" s="1"/>
  <c r="L125" i="1" s="1"/>
  <c r="L126" i="1"/>
  <c r="J127" i="1"/>
  <c r="D127" i="1" s="1"/>
  <c r="L127" i="1" s="1"/>
  <c r="J128" i="1"/>
  <c r="D131" i="1" s="1"/>
  <c r="M131" i="1" s="1"/>
  <c r="L129" i="1"/>
  <c r="J130" i="1"/>
  <c r="J131" i="1"/>
  <c r="L132" i="1"/>
  <c r="M134" i="1"/>
  <c r="C2" i="2"/>
  <c r="L9" i="2"/>
  <c r="L11" i="2"/>
  <c r="M11" i="2"/>
  <c r="N11" i="2"/>
  <c r="O11" i="2"/>
  <c r="L12" i="2"/>
  <c r="C15" i="2" s="1"/>
  <c r="K17" i="2"/>
  <c r="L22" i="2" s="1"/>
  <c r="M17" i="2"/>
  <c r="N17" i="2"/>
  <c r="K18" i="2"/>
  <c r="M18" i="2"/>
  <c r="N18" i="2"/>
  <c r="K19" i="2"/>
  <c r="M19" i="2"/>
  <c r="N19" i="2"/>
  <c r="D20" i="2"/>
  <c r="E20" i="2"/>
  <c r="K20" i="2"/>
  <c r="N20" i="2"/>
  <c r="O20" i="2" s="1"/>
  <c r="N22" i="2"/>
  <c r="N23" i="2"/>
  <c r="D24" i="2"/>
  <c r="N25" i="2" s="1"/>
  <c r="O22" i="2" s="1"/>
  <c r="N24" i="2"/>
  <c r="O25" i="2"/>
  <c r="C26" i="2"/>
  <c r="F26" i="2"/>
  <c r="C27" i="2"/>
  <c r="F27" i="2"/>
  <c r="O29" i="2"/>
  <c r="O26" i="2" s="1"/>
  <c r="F35" i="2"/>
  <c r="F36" i="2"/>
  <c r="A3" i="13"/>
  <c r="F8" i="13"/>
  <c r="F9" i="13"/>
  <c r="F10" i="13"/>
  <c r="I10" i="13"/>
  <c r="T10" i="13"/>
  <c r="U10" i="13" s="1"/>
  <c r="F11" i="13"/>
  <c r="F12" i="13"/>
  <c r="F13" i="13"/>
  <c r="F14" i="13"/>
  <c r="F15" i="13"/>
  <c r="H15" i="13"/>
  <c r="F16" i="13"/>
  <c r="F17" i="13"/>
  <c r="F18" i="13"/>
  <c r="F19" i="13"/>
  <c r="F20" i="13"/>
  <c r="F21" i="13"/>
  <c r="N22" i="13"/>
  <c r="P22" i="13" s="1"/>
  <c r="F22" i="13"/>
  <c r="F23" i="13"/>
  <c r="N23" i="13"/>
  <c r="P23" i="13" s="1"/>
  <c r="F24" i="13"/>
  <c r="N24" i="13"/>
  <c r="P24" i="13" s="1"/>
  <c r="F25" i="13"/>
  <c r="N25" i="13"/>
  <c r="P25" i="13" s="1"/>
  <c r="F26" i="13"/>
  <c r="N26" i="13"/>
  <c r="P26" i="13" s="1"/>
  <c r="F27" i="13"/>
  <c r="N27" i="13"/>
  <c r="P27" i="13" s="1"/>
  <c r="F28" i="13"/>
  <c r="G29" i="13"/>
  <c r="H29" i="13"/>
  <c r="G30" i="13"/>
  <c r="H30" i="13"/>
  <c r="G31" i="13"/>
  <c r="H31" i="13"/>
  <c r="F32" i="13"/>
  <c r="G32" i="13"/>
  <c r="H32" i="13"/>
  <c r="F33" i="13"/>
  <c r="F34" i="13"/>
  <c r="I35" i="13"/>
  <c r="F35" i="13" s="1"/>
  <c r="I36" i="13"/>
  <c r="F36" i="13" s="1"/>
  <c r="F37" i="13"/>
  <c r="G37" i="13"/>
  <c r="F38" i="13"/>
  <c r="I38" i="13"/>
  <c r="I39" i="13"/>
  <c r="F39" i="13" s="1"/>
  <c r="F40" i="13"/>
  <c r="G40" i="13"/>
  <c r="I41" i="13"/>
  <c r="I42" i="13"/>
  <c r="F43" i="13"/>
  <c r="G43" i="13"/>
  <c r="I44" i="13"/>
  <c r="I45" i="13"/>
  <c r="F46" i="13"/>
  <c r="G46" i="13"/>
  <c r="I47" i="13"/>
  <c r="I48" i="13"/>
  <c r="F49" i="13"/>
  <c r="G49" i="13"/>
  <c r="I50" i="13"/>
  <c r="I51" i="13"/>
  <c r="F52" i="13"/>
  <c r="G52" i="13"/>
  <c r="B2" i="3"/>
  <c r="D7" i="3"/>
  <c r="H11" i="3"/>
  <c r="K12" i="3"/>
  <c r="K15" i="3"/>
  <c r="K16" i="3"/>
  <c r="L16" i="3" s="1"/>
  <c r="K17" i="3"/>
  <c r="K18" i="3"/>
  <c r="K19" i="3"/>
  <c r="K20" i="3"/>
  <c r="K21" i="3"/>
  <c r="H44" i="3"/>
  <c r="J44" i="3"/>
  <c r="H45" i="3"/>
  <c r="J45" i="3"/>
  <c r="A46" i="3"/>
  <c r="H46" i="3"/>
  <c r="J46" i="3"/>
  <c r="A47" i="3"/>
  <c r="H47" i="3"/>
  <c r="J47" i="3"/>
  <c r="H48" i="3"/>
  <c r="J48" i="3"/>
  <c r="H49" i="3"/>
  <c r="J49" i="3"/>
  <c r="A68" i="3"/>
  <c r="J69" i="3"/>
  <c r="K69" i="3"/>
  <c r="H70" i="3"/>
  <c r="J70" i="3" s="1"/>
  <c r="M70" i="3" s="1"/>
  <c r="N90" i="3"/>
  <c r="O90" i="3"/>
  <c r="E26" i="3"/>
  <c r="A94" i="3" s="1"/>
  <c r="K94" i="3"/>
  <c r="N96" i="3"/>
  <c r="O96" i="3" s="1"/>
  <c r="J105" i="3"/>
  <c r="J108" i="3"/>
  <c r="J110" i="3"/>
  <c r="J111" i="3"/>
  <c r="J112" i="3"/>
  <c r="B4" i="12"/>
  <c r="C5" i="12"/>
  <c r="K5" i="12" s="1"/>
  <c r="B6" i="12"/>
  <c r="F13" i="12"/>
  <c r="G13" i="12"/>
  <c r="H13" i="12"/>
  <c r="F14" i="12"/>
  <c r="G14" i="12"/>
  <c r="F15" i="12"/>
  <c r="G15" i="12"/>
  <c r="B16" i="12"/>
  <c r="G16" i="12"/>
  <c r="F20" i="12"/>
  <c r="F23" i="12"/>
  <c r="F24" i="12"/>
  <c r="F25" i="12"/>
  <c r="B26" i="12"/>
  <c r="F26" i="12"/>
  <c r="F28" i="12"/>
  <c r="F29" i="12"/>
  <c r="G29" i="12"/>
  <c r="F30" i="12"/>
  <c r="F31" i="12"/>
  <c r="F32" i="12"/>
  <c r="F33" i="12"/>
  <c r="F34" i="12"/>
  <c r="G37" i="12"/>
  <c r="G38" i="12"/>
  <c r="G39" i="12"/>
  <c r="B40" i="12"/>
  <c r="G40" i="12"/>
  <c r="H40" i="12"/>
  <c r="G41" i="12"/>
  <c r="G42" i="12"/>
  <c r="F50" i="12"/>
  <c r="C50" i="12" s="1"/>
  <c r="D50" i="12" s="1"/>
  <c r="B51" i="12"/>
  <c r="B59" i="12"/>
  <c r="G77" i="12"/>
  <c r="H77" i="12"/>
  <c r="I77" i="12"/>
  <c r="B78" i="12"/>
  <c r="G83" i="12"/>
  <c r="H83" i="12"/>
  <c r="I83" i="12"/>
  <c r="G84" i="12"/>
  <c r="H84" i="12"/>
  <c r="G85" i="12"/>
  <c r="H85" i="12"/>
  <c r="H86" i="12"/>
  <c r="C87" i="12"/>
  <c r="D87" i="12" s="1"/>
  <c r="C88" i="12"/>
  <c r="D88" i="12" s="1"/>
  <c r="G88" i="12"/>
  <c r="K88" i="12" s="1"/>
  <c r="H88" i="12"/>
  <c r="L88" i="12" s="1"/>
  <c r="B89" i="12"/>
  <c r="G89" i="12"/>
  <c r="H89" i="12"/>
  <c r="L89" i="12" s="1"/>
  <c r="B90" i="12"/>
  <c r="G95" i="12"/>
  <c r="G99" i="12"/>
  <c r="G100" i="12"/>
  <c r="G101" i="12"/>
  <c r="G102" i="12"/>
  <c r="A6" i="7"/>
  <c r="G6" i="7"/>
  <c r="H6" i="7"/>
  <c r="J6" i="7" s="1"/>
  <c r="G7" i="7"/>
  <c r="J7" i="7" s="1"/>
  <c r="G8" i="7"/>
  <c r="J8" i="7" s="1"/>
  <c r="G9" i="7"/>
  <c r="J9" i="7" s="1"/>
  <c r="G10" i="7"/>
  <c r="J10" i="7" s="1"/>
  <c r="G11" i="7"/>
  <c r="J11" i="7" s="1"/>
  <c r="C11" i="7" s="1"/>
  <c r="G12" i="7"/>
  <c r="J12" i="7" s="1"/>
  <c r="L12" i="7" s="1"/>
  <c r="G13" i="7"/>
  <c r="J13" i="7"/>
  <c r="L13" i="7" s="1"/>
  <c r="E14" i="7"/>
  <c r="G14" i="7" s="1"/>
  <c r="J14" i="7"/>
  <c r="C14" i="7" s="1"/>
  <c r="G15" i="7"/>
  <c r="J15" i="7"/>
  <c r="C15" i="7" s="1"/>
  <c r="E16" i="7"/>
  <c r="G16" i="7" s="1"/>
  <c r="J16" i="7"/>
  <c r="C16" i="7" s="1"/>
  <c r="G17" i="7"/>
  <c r="J17" i="7"/>
  <c r="C17" i="7" s="1"/>
  <c r="G18" i="7"/>
  <c r="J18" i="7" s="1"/>
  <c r="C18" i="7" s="1"/>
  <c r="G19" i="7"/>
  <c r="J19" i="7" s="1"/>
  <c r="C19" i="7" s="1"/>
  <c r="G20" i="7"/>
  <c r="J20" i="7"/>
  <c r="C20" i="7" s="1"/>
  <c r="G21" i="7"/>
  <c r="J21" i="7"/>
  <c r="C21" i="7" s="1"/>
  <c r="G22" i="7"/>
  <c r="J22" i="7"/>
  <c r="C22" i="7" s="1"/>
  <c r="E23" i="7"/>
  <c r="G23" i="7" s="1"/>
  <c r="J23" i="7"/>
  <c r="C23" i="7" s="1"/>
  <c r="G24" i="7"/>
  <c r="J24" i="7" s="1"/>
  <c r="G25" i="7"/>
  <c r="J25" i="7" s="1"/>
  <c r="G26" i="7"/>
  <c r="J26" i="7" s="1"/>
  <c r="C26" i="7" s="1"/>
  <c r="G27" i="7"/>
  <c r="J27" i="7"/>
  <c r="C27" i="7" s="1"/>
  <c r="E28" i="7"/>
  <c r="G28" i="7" s="1"/>
  <c r="J28" i="7"/>
  <c r="C28" i="7" s="1"/>
  <c r="G29" i="7"/>
  <c r="J29" i="7" s="1"/>
  <c r="G30" i="7"/>
  <c r="J30" i="7" s="1"/>
  <c r="G31" i="7"/>
  <c r="H31" i="7"/>
  <c r="G32" i="7"/>
  <c r="H32" i="7"/>
  <c r="J32" i="7" s="1"/>
  <c r="C32" i="7" s="1"/>
  <c r="G33" i="7"/>
  <c r="H33" i="7"/>
  <c r="G34" i="7"/>
  <c r="H34" i="7"/>
  <c r="J34" i="7" s="1"/>
  <c r="C34" i="7" s="1"/>
  <c r="G35" i="7"/>
  <c r="H35" i="7"/>
  <c r="J35" i="7" s="1"/>
  <c r="C35" i="7" s="1"/>
  <c r="G36" i="7"/>
  <c r="H36" i="7"/>
  <c r="G37" i="7"/>
  <c r="H37" i="7"/>
  <c r="G38" i="7"/>
  <c r="H38" i="7"/>
  <c r="G39" i="7"/>
  <c r="H39" i="7"/>
  <c r="G40" i="7"/>
  <c r="H40" i="7"/>
  <c r="J40" i="7" s="1"/>
  <c r="E41" i="7"/>
  <c r="G41" i="7" s="1"/>
  <c r="G42" i="7"/>
  <c r="H42" i="7"/>
  <c r="J42" i="7" s="1"/>
  <c r="C42" i="7" s="1"/>
  <c r="G43" i="7"/>
  <c r="H43" i="7"/>
  <c r="G44" i="7"/>
  <c r="H44" i="7"/>
  <c r="G45" i="7"/>
  <c r="H45" i="7"/>
  <c r="J45" i="7" s="1"/>
  <c r="E46" i="7"/>
  <c r="G46" i="7" s="1"/>
  <c r="G47" i="7"/>
  <c r="H47" i="7"/>
  <c r="G48" i="7"/>
  <c r="H48" i="7"/>
  <c r="G49" i="7"/>
  <c r="H49" i="7"/>
  <c r="G50" i="7"/>
  <c r="H50" i="7"/>
  <c r="G51" i="7"/>
  <c r="H51" i="7"/>
  <c r="J51" i="7" s="1"/>
  <c r="E52" i="7"/>
  <c r="G52" i="7" s="1"/>
  <c r="G53" i="7"/>
  <c r="H53" i="7"/>
  <c r="J53" i="7" s="1"/>
  <c r="C53" i="7" s="1"/>
  <c r="G54" i="7"/>
  <c r="H54" i="7"/>
  <c r="G55" i="7"/>
  <c r="H55" i="7"/>
  <c r="J55" i="7" s="1"/>
  <c r="E56" i="7"/>
  <c r="G56" i="7" s="1"/>
  <c r="G57" i="7"/>
  <c r="H57" i="7"/>
  <c r="G58" i="7"/>
  <c r="J58" i="7" s="1"/>
  <c r="H58" i="7"/>
  <c r="G59" i="7"/>
  <c r="H59" i="7"/>
  <c r="G60" i="7"/>
  <c r="H60" i="7"/>
  <c r="G61" i="7"/>
  <c r="H61" i="7"/>
  <c r="G62" i="7"/>
  <c r="J62" i="7" s="1"/>
  <c r="H62" i="7"/>
  <c r="G63" i="7"/>
  <c r="H63" i="7"/>
  <c r="G64" i="7"/>
  <c r="H64" i="7"/>
  <c r="J64" i="7" s="1"/>
  <c r="C64" i="7" s="1"/>
  <c r="E65" i="7"/>
  <c r="H65" i="7" s="1"/>
  <c r="J65" i="7" s="1"/>
  <c r="C66" i="7"/>
  <c r="G66" i="7"/>
  <c r="H66" i="7"/>
  <c r="J66" i="7"/>
  <c r="L66" i="7" s="1"/>
  <c r="C67" i="7"/>
  <c r="G67" i="7"/>
  <c r="H67" i="7"/>
  <c r="J67" i="7" s="1"/>
  <c r="L67" i="7" s="1"/>
  <c r="G68" i="7"/>
  <c r="H68" i="7"/>
  <c r="J68" i="7" s="1"/>
  <c r="E69" i="7"/>
  <c r="G69" i="7" s="1"/>
  <c r="G70" i="7"/>
  <c r="H70" i="7"/>
  <c r="J70" i="7" s="1"/>
  <c r="C70" i="7" s="1"/>
  <c r="D71" i="7"/>
  <c r="G71" i="7"/>
  <c r="F73" i="7"/>
  <c r="H73" i="7" s="1"/>
  <c r="G73" i="7"/>
  <c r="G74" i="7"/>
  <c r="G75" i="7"/>
  <c r="G76" i="7"/>
  <c r="G77" i="7"/>
  <c r="G78" i="7"/>
  <c r="G79" i="7"/>
  <c r="G80" i="7"/>
  <c r="G81" i="7"/>
  <c r="G82" i="7"/>
  <c r="G83" i="7"/>
  <c r="G84" i="7"/>
  <c r="E104" i="7"/>
  <c r="E105" i="7"/>
  <c r="E106" i="7"/>
  <c r="E107" i="7"/>
  <c r="E108" i="7"/>
  <c r="E109" i="7"/>
  <c r="E110" i="7"/>
  <c r="E111" i="7"/>
  <c r="E112" i="7"/>
  <c r="E113" i="7"/>
  <c r="E114" i="7"/>
  <c r="C124" i="7"/>
  <c r="E124" i="7" s="1"/>
  <c r="F124" i="7" s="1"/>
  <c r="C125" i="7"/>
  <c r="E125" i="7" s="1"/>
  <c r="F125" i="7" s="1"/>
  <c r="C126" i="7"/>
  <c r="E126" i="7" s="1"/>
  <c r="F126" i="7" s="1"/>
  <c r="C127" i="7"/>
  <c r="E127" i="7" s="1"/>
  <c r="F127" i="7" s="1"/>
  <c r="C128" i="7"/>
  <c r="E128" i="7" s="1"/>
  <c r="F128" i="7" s="1"/>
  <c r="E129" i="7"/>
  <c r="F129" i="7" s="1"/>
  <c r="C144" i="7"/>
  <c r="E144" i="7" s="1"/>
  <c r="F144" i="7" s="1"/>
  <c r="C145" i="7"/>
  <c r="E145" i="7" s="1"/>
  <c r="F145" i="7" s="1"/>
  <c r="C146" i="7"/>
  <c r="E146" i="7" s="1"/>
  <c r="F146" i="7" s="1"/>
  <c r="C147" i="7"/>
  <c r="E147" i="7" s="1"/>
  <c r="F147" i="7" s="1"/>
  <c r="C148" i="7"/>
  <c r="E148" i="7" s="1"/>
  <c r="F148" i="7" s="1"/>
  <c r="C149" i="7"/>
  <c r="E149" i="7" s="1"/>
  <c r="F149" i="7" s="1"/>
  <c r="C152" i="7"/>
  <c r="E152" i="7" s="1"/>
  <c r="F152" i="7" s="1"/>
  <c r="C153" i="7"/>
  <c r="E153" i="7" s="1"/>
  <c r="F153" i="7" s="1"/>
  <c r="C154" i="7"/>
  <c r="E154" i="7" s="1"/>
  <c r="F154" i="7" s="1"/>
  <c r="C155" i="7"/>
  <c r="E155" i="7" s="1"/>
  <c r="F155" i="7" s="1"/>
  <c r="C156" i="7"/>
  <c r="E156" i="7" s="1"/>
  <c r="F156" i="7" s="1"/>
  <c r="C157" i="7"/>
  <c r="E157" i="7" s="1"/>
  <c r="F157" i="7" s="1"/>
  <c r="P7" i="5"/>
  <c r="B10" i="5"/>
  <c r="B17" i="5" s="1"/>
  <c r="D10" i="5"/>
  <c r="D17" i="5" s="1"/>
  <c r="E10" i="5"/>
  <c r="E17" i="5" s="1"/>
  <c r="F10" i="5"/>
  <c r="F17" i="5" s="1"/>
  <c r="G10" i="5"/>
  <c r="G17" i="5" s="1"/>
  <c r="H10" i="5"/>
  <c r="H17" i="5" s="1"/>
  <c r="I10" i="5"/>
  <c r="I17" i="5" s="1"/>
  <c r="J10" i="5"/>
  <c r="J17" i="5" s="1"/>
  <c r="K10" i="5"/>
  <c r="K17" i="5" s="1"/>
  <c r="L10" i="5"/>
  <c r="M10" i="5"/>
  <c r="N10" i="5"/>
  <c r="O10" i="5"/>
  <c r="P10" i="5"/>
  <c r="Q10" i="5"/>
  <c r="Y17" i="5"/>
  <c r="Z17" i="5"/>
  <c r="AB17" i="5"/>
  <c r="AC17" i="5"/>
  <c r="N20" i="5"/>
  <c r="N22" i="5" s="1"/>
  <c r="Q20" i="5"/>
  <c r="Q22" i="5" s="1"/>
  <c r="T20" i="5"/>
  <c r="T21" i="5" s="1"/>
  <c r="T25" i="5" s="1"/>
  <c r="T26" i="5" s="1"/>
  <c r="W20" i="5"/>
  <c r="W21" i="5" s="1"/>
  <c r="Z20" i="5"/>
  <c r="Z21" i="5" s="1"/>
  <c r="AC20" i="5"/>
  <c r="AC21" i="5" s="1"/>
  <c r="O25" i="5"/>
  <c r="O26" i="5" s="1"/>
  <c r="P25" i="5"/>
  <c r="P26" i="5" s="1"/>
  <c r="R25" i="5"/>
  <c r="R26" i="5" s="1"/>
  <c r="S25" i="5"/>
  <c r="S26" i="5" s="1"/>
  <c r="U25" i="5"/>
  <c r="V25" i="5"/>
  <c r="V26" i="5" s="1"/>
  <c r="X25" i="5"/>
  <c r="X26" i="5" s="1"/>
  <c r="Y25" i="5"/>
  <c r="Y26" i="5" s="1"/>
  <c r="AA25" i="5"/>
  <c r="AA26" i="5" s="1"/>
  <c r="AB25" i="5"/>
  <c r="AB26" i="5" s="1"/>
  <c r="L26" i="5"/>
  <c r="M26" i="5"/>
  <c r="U26" i="5"/>
  <c r="B15" i="6"/>
  <c r="B16" i="6"/>
  <c r="D18" i="6"/>
  <c r="E18" i="6"/>
  <c r="K18" i="6"/>
  <c r="B19" i="6"/>
  <c r="C2" i="4"/>
  <c r="E5" i="8"/>
  <c r="D6" i="8"/>
  <c r="G6" i="8" s="1"/>
  <c r="E6" i="8"/>
  <c r="H6" i="8" s="1"/>
  <c r="B9" i="8"/>
  <c r="I7" i="9"/>
  <c r="J7" i="9"/>
  <c r="F8" i="9"/>
  <c r="G9" i="9"/>
  <c r="K9" i="9"/>
  <c r="E10" i="9"/>
  <c r="H10" i="9"/>
  <c r="L11" i="9"/>
  <c r="E12" i="9"/>
  <c r="J47" i="7" l="1"/>
  <c r="J33" i="7"/>
  <c r="C33" i="7" s="1"/>
  <c r="K89" i="12"/>
  <c r="C90" i="12" s="1"/>
  <c r="D90" i="12" s="1"/>
  <c r="G86" i="12"/>
  <c r="J36" i="7"/>
  <c r="C36" i="7" s="1"/>
  <c r="J60" i="7"/>
  <c r="C60" i="7" s="1"/>
  <c r="J49" i="7"/>
  <c r="J38" i="7"/>
  <c r="C38" i="7" s="1"/>
  <c r="J31" i="7"/>
  <c r="C31" i="7" s="1"/>
  <c r="F77" i="12"/>
  <c r="K21" i="2"/>
  <c r="J63" i="7"/>
  <c r="J59" i="7"/>
  <c r="L59" i="7" s="1"/>
  <c r="J50" i="7"/>
  <c r="C50" i="7" s="1"/>
  <c r="J48" i="7"/>
  <c r="C48" i="7" s="1"/>
  <c r="J44" i="7"/>
  <c r="J39" i="7"/>
  <c r="C39" i="7" s="1"/>
  <c r="J37" i="7"/>
  <c r="C37" i="7" s="1"/>
  <c r="O18" i="2"/>
  <c r="P18" i="2" s="1"/>
  <c r="C3" i="12"/>
  <c r="K3" i="12" s="1"/>
  <c r="F6" i="8"/>
  <c r="C67" i="12"/>
  <c r="D67" i="12" s="1"/>
  <c r="N21" i="5"/>
  <c r="N25" i="5" s="1"/>
  <c r="N26" i="5" s="1"/>
  <c r="K92" i="3"/>
  <c r="C26" i="3" s="1"/>
  <c r="A95" i="3" s="1"/>
  <c r="D21" i="3"/>
  <c r="D17" i="3"/>
  <c r="D8" i="3"/>
  <c r="U10" i="5"/>
  <c r="D20" i="3"/>
  <c r="C4" i="12"/>
  <c r="D4" i="12" s="1"/>
  <c r="Q59" i="1"/>
  <c r="Z22" i="5"/>
  <c r="N32" i="13"/>
  <c r="L32" i="13"/>
  <c r="R32" i="13" s="1"/>
  <c r="C43" i="3"/>
  <c r="A43" i="3" s="1"/>
  <c r="C45" i="3"/>
  <c r="A45" i="3" s="1"/>
  <c r="N42" i="1"/>
  <c r="P42" i="1" s="1"/>
  <c r="L63" i="7"/>
  <c r="C63" i="7"/>
  <c r="C59" i="7"/>
  <c r="C30" i="7"/>
  <c r="L30" i="7"/>
  <c r="C24" i="7"/>
  <c r="L24" i="7"/>
  <c r="L45" i="7"/>
  <c r="C45" i="7"/>
  <c r="C29" i="7"/>
  <c r="L29" i="7"/>
  <c r="C49" i="7"/>
  <c r="L49" i="7"/>
  <c r="C55" i="7"/>
  <c r="L55" i="7"/>
  <c r="C25" i="7"/>
  <c r="L25" i="7"/>
  <c r="Q20" i="2"/>
  <c r="P20" i="2"/>
  <c r="J61" i="7"/>
  <c r="J57" i="7"/>
  <c r="C57" i="7" s="1"/>
  <c r="J54" i="7"/>
  <c r="L54" i="7" s="1"/>
  <c r="J43" i="7"/>
  <c r="C43" i="7" s="1"/>
  <c r="L27" i="7"/>
  <c r="L23" i="7"/>
  <c r="L22" i="7"/>
  <c r="L21" i="7"/>
  <c r="L20" i="7"/>
  <c r="L19" i="7"/>
  <c r="L18" i="7"/>
  <c r="L17" i="7"/>
  <c r="L16" i="7"/>
  <c r="L15" i="7"/>
  <c r="L14" i="7"/>
  <c r="C89" i="12"/>
  <c r="D89" i="12" s="1"/>
  <c r="O17" i="2"/>
  <c r="P17" i="2" s="1"/>
  <c r="D98" i="1"/>
  <c r="T22" i="5"/>
  <c r="H46" i="7"/>
  <c r="J46" i="7" s="1"/>
  <c r="C46" i="7" s="1"/>
  <c r="I73" i="7"/>
  <c r="J65" i="1" s="1"/>
  <c r="I65" i="1" s="1"/>
  <c r="C21" i="12" s="1"/>
  <c r="D21" i="12" s="1"/>
  <c r="F95" i="12"/>
  <c r="L10" i="2"/>
  <c r="E10" i="2" s="1"/>
  <c r="L28" i="2"/>
  <c r="C31" i="2" s="1"/>
  <c r="C32" i="2" s="1"/>
  <c r="C40" i="2" s="1"/>
  <c r="C78" i="12"/>
  <c r="D78" i="12" s="1"/>
  <c r="C17" i="2"/>
  <c r="C22" i="2" s="1"/>
  <c r="C79" i="12"/>
  <c r="D79" i="12" s="1"/>
  <c r="D89" i="1"/>
  <c r="J29" i="13" s="1"/>
  <c r="D18" i="3"/>
  <c r="D12" i="3"/>
  <c r="C2" i="13"/>
  <c r="C40" i="3"/>
  <c r="A40" i="3" s="1"/>
  <c r="L134" i="1"/>
  <c r="Z25" i="5"/>
  <c r="Z26" i="5" s="1"/>
  <c r="W25" i="5"/>
  <c r="W26" i="5" s="1"/>
  <c r="Q21" i="5"/>
  <c r="C42" i="3"/>
  <c r="A42" i="3" s="1"/>
  <c r="N44" i="1"/>
  <c r="O44" i="1" s="1"/>
  <c r="H56" i="7"/>
  <c r="J56" i="7" s="1"/>
  <c r="L56" i="7" s="1"/>
  <c r="C41" i="3"/>
  <c r="A41" i="3" s="1"/>
  <c r="K97" i="1"/>
  <c r="N91" i="1"/>
  <c r="N43" i="1"/>
  <c r="P43" i="1" s="1"/>
  <c r="AC25" i="5"/>
  <c r="AC26" i="5" s="1"/>
  <c r="AC22" i="5"/>
  <c r="G65" i="7"/>
  <c r="L28" i="7"/>
  <c r="C44" i="3"/>
  <c r="A44" i="3" s="1"/>
  <c r="B11" i="9"/>
  <c r="A11" i="9" s="1"/>
  <c r="B10" i="9"/>
  <c r="A10" i="9" s="1"/>
  <c r="B8" i="9"/>
  <c r="A8" i="9" s="1"/>
  <c r="B9" i="9"/>
  <c r="A9" i="9" s="1"/>
  <c r="D122" i="1"/>
  <c r="L122" i="1" s="1"/>
  <c r="N121" i="1" s="1"/>
  <c r="P121" i="1" s="1"/>
  <c r="O121" i="1" s="1"/>
  <c r="C6" i="8"/>
  <c r="I6" i="8" s="1"/>
  <c r="W22" i="5"/>
  <c r="C42" i="1"/>
  <c r="F49" i="1" s="1"/>
  <c r="D19" i="3"/>
  <c r="D5" i="12"/>
  <c r="D3" i="12"/>
  <c r="D119" i="1"/>
  <c r="M119" i="1" s="1"/>
  <c r="P45" i="1"/>
  <c r="Q45" i="1" s="1"/>
  <c r="K49" i="1"/>
  <c r="C86" i="3"/>
  <c r="C2" i="8"/>
  <c r="I2" i="8" s="1"/>
  <c r="F48" i="13"/>
  <c r="F51" i="13"/>
  <c r="F42" i="13"/>
  <c r="K46" i="3"/>
  <c r="N46" i="3" s="1"/>
  <c r="F45" i="13"/>
  <c r="F6" i="13"/>
  <c r="F41" i="13"/>
  <c r="F50" i="13"/>
  <c r="F47" i="13"/>
  <c r="F44" i="13"/>
  <c r="N69" i="3"/>
  <c r="K70" i="3"/>
  <c r="N70" i="3" s="1"/>
  <c r="O70" i="3" s="1"/>
  <c r="P70" i="3" s="1"/>
  <c r="H71" i="3"/>
  <c r="K71" i="3" s="1"/>
  <c r="K49" i="3"/>
  <c r="K47" i="3"/>
  <c r="D43" i="3" s="1"/>
  <c r="K45" i="3"/>
  <c r="N45" i="3" s="1"/>
  <c r="P90" i="3"/>
  <c r="C3" i="8" s="1"/>
  <c r="I3" i="8" s="1"/>
  <c r="K44" i="3"/>
  <c r="N44" i="3" s="1"/>
  <c r="K48" i="3"/>
  <c r="D44" i="3" s="1"/>
  <c r="J113" i="3"/>
  <c r="D98" i="3" s="1"/>
  <c r="M67" i="1"/>
  <c r="B6" i="9"/>
  <c r="A6" i="9" s="1"/>
  <c r="B2" i="9"/>
  <c r="A2" i="9" s="1"/>
  <c r="B3" i="9"/>
  <c r="A3" i="9" s="1"/>
  <c r="B5" i="9"/>
  <c r="A5" i="9" s="1"/>
  <c r="B4" i="9"/>
  <c r="A4" i="9" s="1"/>
  <c r="B7" i="9"/>
  <c r="A7" i="9" s="1"/>
  <c r="L67" i="1"/>
  <c r="N89" i="1"/>
  <c r="R62" i="1"/>
  <c r="C22" i="12"/>
  <c r="D22" i="12" s="1"/>
  <c r="L69" i="3"/>
  <c r="R69" i="3" s="1"/>
  <c r="M94" i="1"/>
  <c r="L131" i="1"/>
  <c r="D16" i="3"/>
  <c r="I154" i="7"/>
  <c r="H154" i="7" s="1"/>
  <c r="L18" i="3"/>
  <c r="C68" i="12" s="1"/>
  <c r="D68" i="12" s="1"/>
  <c r="Q69" i="3"/>
  <c r="D128" i="1"/>
  <c r="S62" i="1"/>
  <c r="U62" i="1" s="1"/>
  <c r="N30" i="13"/>
  <c r="G45" i="12"/>
  <c r="S10" i="5"/>
  <c r="L118" i="1"/>
  <c r="M118" i="1"/>
  <c r="I127" i="7"/>
  <c r="H127" i="7" s="1"/>
  <c r="M69" i="3"/>
  <c r="O62" i="1"/>
  <c r="M121" i="1"/>
  <c r="C58" i="7"/>
  <c r="L58" i="7"/>
  <c r="L7" i="7"/>
  <c r="C7" i="7"/>
  <c r="L57" i="7"/>
  <c r="C47" i="7"/>
  <c r="L47" i="7"/>
  <c r="C6" i="7"/>
  <c r="L6" i="7"/>
  <c r="C68" i="7"/>
  <c r="L68" i="7"/>
  <c r="C51" i="7"/>
  <c r="L51" i="7"/>
  <c r="C40" i="7"/>
  <c r="L40" i="7"/>
  <c r="L9" i="7"/>
  <c r="C9" i="7"/>
  <c r="I146" i="7"/>
  <c r="H146" i="7" s="1"/>
  <c r="I149" i="7"/>
  <c r="H149" i="7" s="1"/>
  <c r="I147" i="7"/>
  <c r="H147" i="7" s="1"/>
  <c r="I144" i="7"/>
  <c r="H144" i="7" s="1"/>
  <c r="I148" i="7"/>
  <c r="H148" i="7" s="1"/>
  <c r="I145" i="7"/>
  <c r="H145" i="7" s="1"/>
  <c r="C62" i="7"/>
  <c r="L62" i="7"/>
  <c r="C61" i="7"/>
  <c r="L61" i="7"/>
  <c r="L10" i="7"/>
  <c r="C10" i="7"/>
  <c r="I155" i="7"/>
  <c r="H155" i="7" s="1"/>
  <c r="C65" i="7"/>
  <c r="L65" i="7"/>
  <c r="I152" i="7"/>
  <c r="H152" i="7" s="1"/>
  <c r="I126" i="7"/>
  <c r="H126" i="7" s="1"/>
  <c r="C44" i="7"/>
  <c r="L44" i="7"/>
  <c r="L8" i="7"/>
  <c r="C8" i="7"/>
  <c r="I125" i="7"/>
  <c r="H125" i="7" s="1"/>
  <c r="F83" i="12"/>
  <c r="K22" i="3"/>
  <c r="D15" i="3"/>
  <c r="I157" i="7"/>
  <c r="H157" i="7" s="1"/>
  <c r="I153" i="7"/>
  <c r="H153" i="7" s="1"/>
  <c r="I129" i="7"/>
  <c r="H129" i="7" s="1"/>
  <c r="I128" i="7"/>
  <c r="H128" i="7" s="1"/>
  <c r="I124" i="7"/>
  <c r="H124" i="7" s="1"/>
  <c r="H69" i="7"/>
  <c r="J69" i="7" s="1"/>
  <c r="H52" i="7"/>
  <c r="J52" i="7" s="1"/>
  <c r="H41" i="7"/>
  <c r="J41" i="7" s="1"/>
  <c r="C13" i="7"/>
  <c r="C12" i="7"/>
  <c r="J71" i="3"/>
  <c r="M71" i="3" s="1"/>
  <c r="I156" i="7"/>
  <c r="H156" i="7" s="1"/>
  <c r="L70" i="7"/>
  <c r="L64" i="7"/>
  <c r="L60" i="7"/>
  <c r="L53" i="7"/>
  <c r="L50" i="7"/>
  <c r="L42" i="7"/>
  <c r="L39" i="7"/>
  <c r="D10" i="2"/>
  <c r="M124" i="1"/>
  <c r="L124" i="1"/>
  <c r="N124" i="1" s="1"/>
  <c r="P124" i="1" s="1"/>
  <c r="O124" i="1" s="1"/>
  <c r="R18" i="1"/>
  <c r="O18" i="1"/>
  <c r="S18" i="1"/>
  <c r="P18" i="1"/>
  <c r="Q18" i="1"/>
  <c r="O23" i="2"/>
  <c r="O24" i="2" s="1"/>
  <c r="C85" i="12" s="1"/>
  <c r="D85" i="12" s="1"/>
  <c r="L116" i="1"/>
  <c r="N115" i="1" s="1"/>
  <c r="P115" i="1" s="1"/>
  <c r="O115" i="1" s="1"/>
  <c r="M116" i="1"/>
  <c r="M115" i="1"/>
  <c r="M79" i="1"/>
  <c r="M32" i="13"/>
  <c r="L25" i="2"/>
  <c r="F24" i="2"/>
  <c r="O19" i="2"/>
  <c r="D130" i="1"/>
  <c r="J80" i="1"/>
  <c r="J81" i="1"/>
  <c r="J78" i="1"/>
  <c r="J79" i="1"/>
  <c r="J30" i="13"/>
  <c r="L23" i="2"/>
  <c r="L24" i="2" s="1"/>
  <c r="Q18" i="2"/>
  <c r="R18" i="2" s="1"/>
  <c r="Q17" i="2"/>
  <c r="R17" i="2" s="1"/>
  <c r="M127" i="1"/>
  <c r="M125" i="1"/>
  <c r="J32" i="13"/>
  <c r="C55" i="1"/>
  <c r="C67" i="1" s="1"/>
  <c r="C112" i="1"/>
  <c r="K31" i="1"/>
  <c r="C39" i="1"/>
  <c r="C77" i="1"/>
  <c r="F91" i="1" s="1"/>
  <c r="C98" i="1"/>
  <c r="C11" i="2" l="1"/>
  <c r="C54" i="7"/>
  <c r="R20" i="2"/>
  <c r="P11" i="2"/>
  <c r="C77" i="12" s="1"/>
  <c r="F10" i="2"/>
  <c r="C20" i="12"/>
  <c r="D20" i="12" s="1"/>
  <c r="C58" i="1"/>
  <c r="F60" i="1"/>
  <c r="F58" i="1"/>
  <c r="N23" i="5"/>
  <c r="N27" i="5" s="1"/>
  <c r="F81" i="1"/>
  <c r="C91" i="1"/>
  <c r="T7" i="5" s="1"/>
  <c r="F84" i="1"/>
  <c r="C89" i="1"/>
  <c r="R7" i="5" s="1"/>
  <c r="F86" i="1"/>
  <c r="C64" i="1"/>
  <c r="C68" i="1"/>
  <c r="C47" i="1"/>
  <c r="E45" i="1"/>
  <c r="E120" i="1"/>
  <c r="F116" i="1"/>
  <c r="F115" i="1"/>
  <c r="D39" i="2"/>
  <c r="E39" i="2" s="1"/>
  <c r="O32" i="13"/>
  <c r="P32" i="13" s="1"/>
  <c r="Q32" i="13" s="1"/>
  <c r="C39" i="12"/>
  <c r="D39" i="12" s="1"/>
  <c r="C23" i="12"/>
  <c r="K23" i="12" s="1"/>
  <c r="T32" i="13"/>
  <c r="U32" i="13" s="1"/>
  <c r="C43" i="1"/>
  <c r="D41" i="2"/>
  <c r="E41" i="2" s="1"/>
  <c r="G44" i="12"/>
  <c r="O42" i="1"/>
  <c r="Q42" i="1" s="1"/>
  <c r="F48" i="1"/>
  <c r="C48" i="1"/>
  <c r="C36" i="12"/>
  <c r="K36" i="12" s="1"/>
  <c r="C49" i="1"/>
  <c r="C46" i="1"/>
  <c r="D36" i="2"/>
  <c r="N29" i="13"/>
  <c r="F46" i="1"/>
  <c r="D45" i="1"/>
  <c r="F47" i="1"/>
  <c r="C37" i="12"/>
  <c r="D37" i="12" s="1"/>
  <c r="D31" i="1"/>
  <c r="E31" i="1"/>
  <c r="C32" i="1"/>
  <c r="L45" i="3"/>
  <c r="M45" i="3" s="1"/>
  <c r="R10" i="5"/>
  <c r="P44" i="1"/>
  <c r="Q44" i="1" s="1"/>
  <c r="C95" i="12"/>
  <c r="D95" i="12" s="1"/>
  <c r="C38" i="2"/>
  <c r="D40" i="2"/>
  <c r="E40" i="2" s="1"/>
  <c r="C41" i="2"/>
  <c r="C56" i="7"/>
  <c r="W23" i="5"/>
  <c r="W27" i="5" s="1"/>
  <c r="C13" i="12"/>
  <c r="D13" i="12" s="1"/>
  <c r="Q25" i="5"/>
  <c r="Q26" i="5" s="1"/>
  <c r="O43" i="1"/>
  <c r="Q43" i="1" s="1"/>
  <c r="D38" i="2"/>
  <c r="E38" i="2" s="1"/>
  <c r="E36" i="2"/>
  <c r="C39" i="2"/>
  <c r="C37" i="2"/>
  <c r="Z23" i="5"/>
  <c r="Z27" i="5" s="1"/>
  <c r="X17" i="5" s="1"/>
  <c r="H72" i="3"/>
  <c r="H73" i="3" s="1"/>
  <c r="L46" i="7"/>
  <c r="L43" i="7"/>
  <c r="O69" i="3"/>
  <c r="P69" i="3" s="1"/>
  <c r="C34" i="2"/>
  <c r="D42" i="2"/>
  <c r="D37" i="2"/>
  <c r="AC23" i="5"/>
  <c r="AC27" i="5" s="1"/>
  <c r="AA17" i="5" s="1"/>
  <c r="T23" i="5"/>
  <c r="T27" i="5" s="1"/>
  <c r="Q23" i="5"/>
  <c r="Q27" i="5" s="1"/>
  <c r="C24" i="2"/>
  <c r="C83" i="12"/>
  <c r="C42" i="2"/>
  <c r="C86" i="12"/>
  <c r="D86" i="12" s="1"/>
  <c r="C21" i="2"/>
  <c r="F23" i="2"/>
  <c r="F21" i="2"/>
  <c r="C23" i="2"/>
  <c r="F22" i="2"/>
  <c r="C18" i="2"/>
  <c r="M122" i="1"/>
  <c r="Q70" i="3"/>
  <c r="L46" i="3"/>
  <c r="M46" i="3" s="1"/>
  <c r="D42" i="3"/>
  <c r="L70" i="3"/>
  <c r="R70" i="3" s="1"/>
  <c r="L28" i="5"/>
  <c r="L69" i="7"/>
  <c r="C69" i="7"/>
  <c r="C38" i="12"/>
  <c r="L119" i="1"/>
  <c r="N118" i="1" s="1"/>
  <c r="P118" i="1" s="1"/>
  <c r="O118" i="1" s="1"/>
  <c r="F66" i="1"/>
  <c r="C65" i="1"/>
  <c r="C60" i="1"/>
  <c r="T18" i="1"/>
  <c r="L49" i="3"/>
  <c r="M49" i="3" s="1"/>
  <c r="E45" i="3" s="1"/>
  <c r="D45" i="3"/>
  <c r="D41" i="3"/>
  <c r="I31" i="13"/>
  <c r="L31" i="13" s="1"/>
  <c r="M31" i="13"/>
  <c r="F31" i="13"/>
  <c r="I29" i="13"/>
  <c r="L29" i="13" s="1"/>
  <c r="T29" i="13" s="1"/>
  <c r="U29" i="13" s="1"/>
  <c r="J58" i="13"/>
  <c r="C66" i="12" s="1"/>
  <c r="D66" i="12" s="1"/>
  <c r="M29" i="13"/>
  <c r="F29" i="13"/>
  <c r="I30" i="13"/>
  <c r="L30" i="13" s="1"/>
  <c r="M30" i="13"/>
  <c r="F30" i="13"/>
  <c r="C25" i="12"/>
  <c r="D25" i="12" s="1"/>
  <c r="N49" i="3"/>
  <c r="N47" i="3"/>
  <c r="L47" i="3"/>
  <c r="M47" i="3" s="1"/>
  <c r="E43" i="3" s="1"/>
  <c r="N48" i="3"/>
  <c r="L44" i="3"/>
  <c r="M44" i="3" s="1"/>
  <c r="E40" i="3" s="1"/>
  <c r="D40" i="3"/>
  <c r="L48" i="3"/>
  <c r="M48" i="3" s="1"/>
  <c r="E44" i="3" s="1"/>
  <c r="L22" i="3"/>
  <c r="C24" i="12"/>
  <c r="N31" i="13"/>
  <c r="G46" i="12"/>
  <c r="T10" i="5"/>
  <c r="J31" i="13"/>
  <c r="M128" i="1"/>
  <c r="L128" i="1"/>
  <c r="C78" i="1"/>
  <c r="E79" i="1"/>
  <c r="C84" i="1"/>
  <c r="F90" i="1"/>
  <c r="C83" i="1"/>
  <c r="C85" i="1"/>
  <c r="D88" i="1"/>
  <c r="G43" i="12" s="1"/>
  <c r="F92" i="1"/>
  <c r="E88" i="1"/>
  <c r="C90" i="1"/>
  <c r="S7" i="5" s="1"/>
  <c r="C80" i="1"/>
  <c r="C82" i="1"/>
  <c r="C92" i="1"/>
  <c r="U7" i="5" s="1"/>
  <c r="D79" i="1"/>
  <c r="F82" i="1"/>
  <c r="C81" i="1"/>
  <c r="F83" i="1"/>
  <c r="F89" i="1"/>
  <c r="D114" i="1"/>
  <c r="C116" i="1"/>
  <c r="E117" i="1"/>
  <c r="C119" i="1"/>
  <c r="C123" i="1"/>
  <c r="C124" i="1"/>
  <c r="E126" i="1"/>
  <c r="C128" i="1"/>
  <c r="C118" i="1"/>
  <c r="C121" i="1"/>
  <c r="C113" i="1"/>
  <c r="C117" i="1"/>
  <c r="C120" i="1"/>
  <c r="E123" i="1"/>
  <c r="C129" i="1"/>
  <c r="C130" i="1"/>
  <c r="C131" i="1"/>
  <c r="C132" i="1"/>
  <c r="C125" i="1"/>
  <c r="C127" i="1"/>
  <c r="E129" i="1"/>
  <c r="E132" i="1"/>
  <c r="C115" i="1"/>
  <c r="C122" i="1"/>
  <c r="C126" i="1"/>
  <c r="H18" i="1"/>
  <c r="M50" i="1"/>
  <c r="F16" i="12"/>
  <c r="E14" i="12" s="1"/>
  <c r="C16" i="12" s="1"/>
  <c r="L130" i="1"/>
  <c r="M130" i="1"/>
  <c r="G58" i="12"/>
  <c r="D77" i="12"/>
  <c r="C80" i="12"/>
  <c r="D80" i="12" s="1"/>
  <c r="N71" i="3"/>
  <c r="Q71" i="3"/>
  <c r="L71" i="3"/>
  <c r="R71" i="3" s="1"/>
  <c r="L41" i="7"/>
  <c r="C41" i="7"/>
  <c r="C99" i="1"/>
  <c r="C101" i="1"/>
  <c r="C103" i="1"/>
  <c r="C105" i="1"/>
  <c r="D101" i="1"/>
  <c r="C104" i="1"/>
  <c r="D103" i="1"/>
  <c r="C106" i="1"/>
  <c r="D105" i="1"/>
  <c r="D100" i="1"/>
  <c r="C102" i="1"/>
  <c r="E63" i="1"/>
  <c r="F64" i="1"/>
  <c r="F65" i="1"/>
  <c r="C56" i="1"/>
  <c r="F67" i="1"/>
  <c r="C69" i="1"/>
  <c r="C70" i="1"/>
  <c r="F68" i="1"/>
  <c r="F70" i="1"/>
  <c r="D63" i="1"/>
  <c r="F27" i="12" s="1"/>
  <c r="E23" i="12" s="1"/>
  <c r="C26" i="12" s="1"/>
  <c r="C66" i="1"/>
  <c r="F69" i="1"/>
  <c r="C72" i="1"/>
  <c r="D83" i="12"/>
  <c r="C6" i="12"/>
  <c r="Q19" i="2"/>
  <c r="P19" i="2"/>
  <c r="L52" i="7"/>
  <c r="C52" i="7"/>
  <c r="E41" i="3" l="1"/>
  <c r="K20" i="12"/>
  <c r="K72" i="3"/>
  <c r="J72" i="3"/>
  <c r="M72" i="3" s="1"/>
  <c r="R19" i="2"/>
  <c r="R21" i="2" s="1"/>
  <c r="C84" i="12" s="1"/>
  <c r="E42" i="3"/>
  <c r="L17" i="5"/>
  <c r="M17" i="5"/>
  <c r="K37" i="12"/>
  <c r="K39" i="12"/>
  <c r="D23" i="12"/>
  <c r="V32" i="13"/>
  <c r="D36" i="12"/>
  <c r="K13" i="12"/>
  <c r="Q46" i="1"/>
  <c r="C14" i="12" s="1"/>
  <c r="K14" i="12" s="1"/>
  <c r="N17" i="5"/>
  <c r="I41" i="2"/>
  <c r="I40" i="2" s="1"/>
  <c r="C94" i="12" s="1"/>
  <c r="C96" i="12" s="1"/>
  <c r="D96" i="12" s="1"/>
  <c r="N28" i="5"/>
  <c r="R28" i="5"/>
  <c r="S28" i="5"/>
  <c r="M28" i="5"/>
  <c r="P28" i="5"/>
  <c r="O28" i="5"/>
  <c r="Q28" i="5"/>
  <c r="F36" i="12"/>
  <c r="C40" i="12" s="1"/>
  <c r="C41" i="12" s="1"/>
  <c r="D41" i="12" s="1"/>
  <c r="N127" i="1"/>
  <c r="P127" i="1" s="1"/>
  <c r="O127" i="1" s="1"/>
  <c r="N134" i="1"/>
  <c r="K38" i="12"/>
  <c r="D38" i="12"/>
  <c r="B6" i="7"/>
  <c r="K67" i="1" s="1"/>
  <c r="J67" i="1" s="1"/>
  <c r="D13" i="2"/>
  <c r="R29" i="13"/>
  <c r="O29" i="13"/>
  <c r="P29" i="13" s="1"/>
  <c r="Q29" i="13" s="1"/>
  <c r="R31" i="13"/>
  <c r="O31" i="13"/>
  <c r="P31" i="13" s="1"/>
  <c r="T31" i="13"/>
  <c r="U31" i="13" s="1"/>
  <c r="R30" i="13"/>
  <c r="O30" i="13"/>
  <c r="P30" i="13" s="1"/>
  <c r="T30" i="13"/>
  <c r="U30" i="13" s="1"/>
  <c r="N54" i="3"/>
  <c r="C38" i="3" s="1"/>
  <c r="K25" i="12"/>
  <c r="Q50" i="3"/>
  <c r="C48" i="3" s="1"/>
  <c r="A48" i="3" s="1"/>
  <c r="D24" i="12"/>
  <c r="K24" i="12"/>
  <c r="D84" i="12"/>
  <c r="C91" i="12"/>
  <c r="D91" i="12" s="1"/>
  <c r="N130" i="1"/>
  <c r="P130" i="1" s="1"/>
  <c r="O130" i="1" s="1"/>
  <c r="A3" i="10"/>
  <c r="B3" i="10" s="1"/>
  <c r="G53" i="12" s="1"/>
  <c r="G52" i="12"/>
  <c r="D16" i="12"/>
  <c r="K16" i="12"/>
  <c r="J73" i="3"/>
  <c r="M73" i="3" s="1"/>
  <c r="K73" i="3"/>
  <c r="H74" i="3"/>
  <c r="C7" i="12"/>
  <c r="D7" i="12" s="1"/>
  <c r="D6" i="12"/>
  <c r="K6" i="12"/>
  <c r="O71" i="3"/>
  <c r="P71" i="3" s="1"/>
  <c r="N47" i="1"/>
  <c r="N48" i="1"/>
  <c r="L72" i="3"/>
  <c r="R72" i="3" s="1"/>
  <c r="Q72" i="3"/>
  <c r="N72" i="3"/>
  <c r="O72" i="3" s="1"/>
  <c r="P72" i="3" s="1"/>
  <c r="D26" i="12"/>
  <c r="K26" i="12"/>
  <c r="C27" i="12"/>
  <c r="D27" i="12" s="1"/>
  <c r="G54" i="12"/>
  <c r="A4" i="10"/>
  <c r="B4" i="10" s="1"/>
  <c r="D106" i="1" s="1"/>
  <c r="G55" i="12" s="1"/>
  <c r="G49" i="12"/>
  <c r="A2" i="10"/>
  <c r="B2" i="10" s="1"/>
  <c r="F7" i="13"/>
  <c r="J60" i="13" s="1"/>
  <c r="F65" i="12" s="1"/>
  <c r="C65" i="12" s="1"/>
  <c r="F56" i="13"/>
  <c r="F58" i="13"/>
  <c r="H58" i="12"/>
  <c r="F58" i="12" s="1"/>
  <c r="C59" i="12" s="1"/>
  <c r="D14" i="12" l="1"/>
  <c r="O134" i="1"/>
  <c r="C58" i="12" s="1"/>
  <c r="K58" i="12" s="1"/>
  <c r="B94" i="12"/>
  <c r="D94" i="12"/>
  <c r="D44" i="2" s="1"/>
  <c r="V29" i="13"/>
  <c r="D40" i="12"/>
  <c r="K40" i="12"/>
  <c r="D29" i="2"/>
  <c r="U17" i="5"/>
  <c r="V17" i="5"/>
  <c r="W17" i="5"/>
  <c r="T17" i="5"/>
  <c r="R17" i="5"/>
  <c r="S17" i="5"/>
  <c r="O17" i="5"/>
  <c r="P17" i="5"/>
  <c r="Q17" i="5"/>
  <c r="N49" i="1"/>
  <c r="C15" i="12" s="1"/>
  <c r="D15" i="12" s="1"/>
  <c r="Q31" i="13"/>
  <c r="V31" i="13"/>
  <c r="Q30" i="13"/>
  <c r="V30" i="13"/>
  <c r="C49" i="3"/>
  <c r="A49" i="3" s="1"/>
  <c r="K59" i="12"/>
  <c r="D59" i="12"/>
  <c r="J74" i="3"/>
  <c r="K74" i="3"/>
  <c r="K56" i="13"/>
  <c r="L56" i="13" s="1"/>
  <c r="G56" i="13"/>
  <c r="H56" i="13"/>
  <c r="I56" i="13"/>
  <c r="J56" i="13" s="1"/>
  <c r="D65" i="12"/>
  <c r="C69" i="12"/>
  <c r="D69" i="12" s="1"/>
  <c r="C70" i="12"/>
  <c r="F24" i="3" s="1"/>
  <c r="N73" i="3"/>
  <c r="L73" i="3"/>
  <c r="R73" i="3" s="1"/>
  <c r="Q73" i="3"/>
  <c r="C49" i="12"/>
  <c r="G51" i="12"/>
  <c r="F49" i="12" s="1"/>
  <c r="C51" i="12" s="1"/>
  <c r="K15" i="12" l="1"/>
  <c r="C17" i="12"/>
  <c r="D17" i="12" s="1"/>
  <c r="M74" i="3"/>
  <c r="C55" i="3"/>
  <c r="A55" i="3" s="1"/>
  <c r="C56" i="3"/>
  <c r="A56" i="3" s="1"/>
  <c r="E56" i="3"/>
  <c r="D55" i="3"/>
  <c r="D56" i="3"/>
  <c r="E57" i="3"/>
  <c r="D57" i="3"/>
  <c r="E58" i="3"/>
  <c r="C57" i="3"/>
  <c r="A57" i="3" s="1"/>
  <c r="D58" i="3"/>
  <c r="C58" i="3"/>
  <c r="A58" i="3" s="1"/>
  <c r="E55" i="3"/>
  <c r="D58" i="12"/>
  <c r="C60" i="12"/>
  <c r="D60" i="12" s="1"/>
  <c r="D24" i="3"/>
  <c r="D51" i="12"/>
  <c r="K51" i="12"/>
  <c r="O73" i="3"/>
  <c r="P73" i="3" s="1"/>
  <c r="D49" i="12"/>
  <c r="C52" i="12"/>
  <c r="D52" i="12" s="1"/>
  <c r="K49" i="12"/>
  <c r="L74" i="3"/>
  <c r="R74" i="3" s="1"/>
  <c r="N74" i="3"/>
  <c r="Q74" i="3"/>
  <c r="Q77" i="3" s="1"/>
  <c r="C79" i="3" s="1"/>
  <c r="C80" i="3" s="1"/>
  <c r="K60" i="12" l="1"/>
  <c r="F23" i="3" s="1"/>
  <c r="D23" i="3" s="1"/>
  <c r="O74" i="3"/>
  <c r="P74" i="3" s="1"/>
  <c r="C75" i="3" s="1"/>
  <c r="A75" i="3" s="1"/>
  <c r="N77" i="3"/>
  <c r="C67" i="3" s="1"/>
  <c r="H55" i="3"/>
  <c r="C54" i="3" s="1"/>
  <c r="C61" i="3"/>
  <c r="C62" i="3" s="1"/>
  <c r="E71" i="3" l="1"/>
  <c r="C72" i="12"/>
  <c r="C73" i="12" s="1"/>
  <c r="D73" i="12" s="1"/>
  <c r="E69" i="3"/>
  <c r="E70" i="3"/>
  <c r="D75" i="3"/>
  <c r="D76" i="3"/>
  <c r="E72" i="3"/>
  <c r="E74" i="3"/>
  <c r="E75" i="3"/>
  <c r="E76" i="3"/>
  <c r="C74" i="3"/>
  <c r="E73" i="3"/>
  <c r="C76" i="3"/>
  <c r="A76" i="3" s="1"/>
  <c r="D72" i="12" l="1"/>
  <c r="C36" i="3" s="1"/>
  <c r="D71" i="3"/>
  <c r="D70" i="3"/>
  <c r="D69" i="3"/>
  <c r="C73" i="3"/>
  <c r="A73" i="3" s="1"/>
  <c r="D74" i="3"/>
  <c r="C69" i="3"/>
  <c r="A69" i="3" s="1"/>
  <c r="C71" i="3"/>
  <c r="A71" i="3" s="1"/>
  <c r="C72" i="3"/>
  <c r="A72" i="3" s="1"/>
  <c r="D72" i="3"/>
  <c r="C70" i="3"/>
  <c r="A70" i="3" s="1"/>
  <c r="A74" i="3"/>
  <c r="D73" i="3"/>
  <c r="C85" i="3" l="1"/>
  <c r="L89" i="3"/>
  <c r="K89" i="3" s="1"/>
  <c r="K95" i="3" s="1"/>
  <c r="C5" i="8" l="1"/>
  <c r="I5" i="8" s="1"/>
  <c r="D90" i="3"/>
  <c r="C4" i="8"/>
  <c r="I4" i="8" s="1"/>
  <c r="C96" i="3" l="1"/>
  <c r="A101" i="3" s="1"/>
  <c r="C97" i="3"/>
  <c r="A102" i="3" s="1"/>
  <c r="C93" i="3"/>
  <c r="A98" i="3" s="1"/>
  <c r="C95" i="3"/>
  <c r="A100" i="3" s="1"/>
  <c r="C94" i="3"/>
</calcChain>
</file>

<file path=xl/sharedStrings.xml><?xml version="1.0" encoding="utf-8"?>
<sst xmlns="http://schemas.openxmlformats.org/spreadsheetml/2006/main" count="2267" uniqueCount="1035">
  <si>
    <t>Nurodykite regioną →</t>
  </si>
  <si>
    <t>Klaipėdos</t>
  </si>
  <si>
    <t>ISTEXT</t>
  </si>
  <si>
    <t>Jeigu numatote keisti  integruotą teritorijų vystymo programą, pasirinkite→</t>
  </si>
  <si>
    <t>Klaipėdos regiono</t>
  </si>
  <si>
    <t>Pasirinkite dokumento versiją →</t>
  </si>
  <si>
    <t>Patikslinta</t>
  </si>
  <si>
    <t>R029908-101600-1000</t>
  </si>
  <si>
    <t>RPD prie VRM išvada</t>
  </si>
  <si>
    <t>Pastabos ir pasiūlymai:</t>
  </si>
  <si>
    <t>↓ Filtro eilutė (kad būtų rodomi tik užpildyti langeliai, A stulpelyje pasirinkite reikšmę "Rodyti")</t>
  </si>
  <si>
    <t>1.2.</t>
  </si>
  <si>
    <t>Pakeisti esamą projektą</t>
  </si>
  <si>
    <t/>
  </si>
  <si>
    <t>įtraukti</t>
  </si>
  <si>
    <t>pak arba įšbr</t>
  </si>
  <si>
    <t>Nr.</t>
  </si>
  <si>
    <t>Tekstas</t>
  </si>
  <si>
    <t>pakeisti</t>
  </si>
  <si>
    <t>išbraukti</t>
  </si>
  <si>
    <t>Pasiūlymo motyvai (pagrindimas) – iki 700 spaudos ženklų:</t>
  </si>
  <si>
    <t>Klaidų patikrinimas:</t>
  </si>
  <si>
    <t>1.3</t>
  </si>
  <si>
    <t>ant aukšto kranto</t>
  </si>
  <si>
    <t>upės mėlynos</t>
  </si>
  <si>
    <t>1.4</t>
  </si>
  <si>
    <t>Raidės</t>
  </si>
  <si>
    <t>Santrumpa</t>
  </si>
  <si>
    <t>Ar R priemonė</t>
  </si>
  <si>
    <t>Ar R atranka</t>
  </si>
  <si>
    <t>AND</t>
  </si>
  <si>
    <t>ar V priemone</t>
  </si>
  <si>
    <t>ar "V" būdas</t>
  </si>
  <si>
    <t>ar kita priemonė</t>
  </si>
  <si>
    <t>ar "-" būdas</t>
  </si>
  <si>
    <t>Ar ITI</t>
  </si>
  <si>
    <t>VRM</t>
  </si>
  <si>
    <t>Jonavos r. sav.</t>
  </si>
  <si>
    <t>07.1.1-CPVA-V-906</t>
  </si>
  <si>
    <t>R</t>
  </si>
  <si>
    <t>–</t>
  </si>
  <si>
    <t>1.5</t>
  </si>
  <si>
    <t>Kitos viešosios lėšos</t>
  </si>
  <si>
    <t>nėra teksto</t>
  </si>
  <si>
    <t>XOR</t>
  </si>
  <si>
    <t>Data1</t>
  </si>
  <si>
    <t>Data2</t>
  </si>
  <si>
    <t>Data3</t>
  </si>
  <si>
    <t>Data4</t>
  </si>
  <si>
    <t>Ar ES priemonė</t>
  </si>
  <si>
    <t>Ar ES lėšos?</t>
  </si>
  <si>
    <t>1.6</t>
  </si>
  <si>
    <t>Nustatyta projekto unikaliu numeriu</t>
  </si>
  <si>
    <t>Įvesta rankiniu būdu</t>
  </si>
  <si>
    <t>E</t>
  </si>
  <si>
    <t>ISTEXT?</t>
  </si>
  <si>
    <t>ISNUMBER</t>
  </si>
  <si>
    <t>OR</t>
  </si>
  <si>
    <t>Kodas (I)</t>
  </si>
  <si>
    <t>Produkto vertinimo kriterijus (I) (pavadinimas, matavimo vienetai)</t>
  </si>
  <si>
    <t>Siekiama reikšmė (I)</t>
  </si>
  <si>
    <t>Kodas (II)</t>
  </si>
  <si>
    <t>Produkto vertinimo kriterijus (II) (pavadinimas, matavimo vienetai)</t>
  </si>
  <si>
    <t>Siekiama reikšmė (II)</t>
  </si>
  <si>
    <t>Kodas (III)</t>
  </si>
  <si>
    <t>Produkto vertinimo kriterijus (III) (pavadinimas, matavimo vienetai)</t>
  </si>
  <si>
    <t>Siekiama reikšmė (III)</t>
  </si>
  <si>
    <t>Kodas (IV)</t>
  </si>
  <si>
    <t>Produkto vertinimo kriterijus (IV) (pavadinimas, matavimo vienetai)</t>
  </si>
  <si>
    <t>Siekiama reikšmė (IV)</t>
  </si>
  <si>
    <t>Kodas (V)</t>
  </si>
  <si>
    <t>Produkto vertinimo kriterijus (V) (pavadinimas, matavimo vienetai)</t>
  </si>
  <si>
    <t>Siekiama reikšmė (V)</t>
  </si>
  <si>
    <t>Kodas (VI)</t>
  </si>
  <si>
    <t>Produkto vertinimo kriterijus (VI) (pavadinimas, matavimo vienetai)</t>
  </si>
  <si>
    <t>Siekiama reikšmė (VI)</t>
  </si>
  <si>
    <t>bent 1 reikšmė</t>
  </si>
  <si>
    <t>2 lentelė</t>
  </si>
  <si>
    <t>2.1.</t>
  </si>
  <si>
    <r>
      <t xml:space="preserve">Pasirinkite ITVP keitimo būdą </t>
    </r>
    <r>
      <rPr>
        <sz val="11"/>
        <color indexed="8"/>
        <rFont val="Arial"/>
        <family val="2"/>
      </rPr>
      <t>↓</t>
    </r>
  </si>
  <si>
    <t>Pakeisti esamą veiksmą</t>
  </si>
  <si>
    <t>Nr</t>
  </si>
  <si>
    <r>
      <t>↓</t>
    </r>
    <r>
      <rPr>
        <sz val="11"/>
        <color theme="1"/>
        <rFont val="Calibri"/>
        <family val="2"/>
        <scheme val="minor"/>
      </rPr>
      <t>ar uzpildyta?</t>
    </r>
  </si>
  <si>
    <t>1.1.1v</t>
  </si>
  <si>
    <t>garvežiai išplauks</t>
  </si>
  <si>
    <t>1.1.1.</t>
  </si>
  <si>
    <t>2.2.</t>
  </si>
  <si>
    <t>nr ir pav</t>
  </si>
  <si>
    <t>pazymejimai</t>
  </si>
  <si>
    <t>numeracija</t>
  </si>
  <si>
    <t>Ne</t>
  </si>
  <si>
    <t>ttt</t>
  </si>
  <si>
    <t>ar nepildoma 2.3</t>
  </si>
  <si>
    <t>2.3.</t>
  </si>
  <si>
    <r>
      <t>Pridėkite tvarkomų infrastruktūros objektų schemą; jeigu yra parengtas ITVP interaktyvus žemėlapis – atvaizduokite siūlomus pakeitimus naujame sluoksnyje ir pateikite nuorodą)</t>
    </r>
    <r>
      <rPr>
        <b/>
        <sz val="11"/>
        <color indexed="8"/>
        <rFont val="Arial"/>
        <family val="2"/>
      </rPr>
      <t>↓</t>
    </r>
  </si>
  <si>
    <t>Įklijuokite Plano ? lentelės įrašą į pažymėtus langelius</t>
  </si>
  <si>
    <t>Projekto unikalus numeris</t>
  </si>
  <si>
    <t>Nuorodos numeris</t>
  </si>
  <si>
    <t>Projekto numeris SFMIS/ŽŪMIS</t>
  </si>
  <si>
    <t>Unikalus Nr.</t>
  </si>
  <si>
    <t>unikalus ID</t>
  </si>
  <si>
    <t>Projektas</t>
  </si>
  <si>
    <t>Požymiai:</t>
  </si>
  <si>
    <t>Pareiškėjas</t>
  </si>
  <si>
    <t>IF(T9="A";LEFT(D14;3);RIGHT(D14;3)</t>
  </si>
  <si>
    <t>Ministerija</t>
  </si>
  <si>
    <t>Įgyvendinimo teritorija</t>
  </si>
  <si>
    <t>Kauno regionas</t>
  </si>
  <si>
    <t>VP priemonė arba KPP priemonė (Nr.)</t>
  </si>
  <si>
    <t>R/V/–</t>
  </si>
  <si>
    <t>ITI, RSP</t>
  </si>
  <si>
    <t>RSP</t>
  </si>
  <si>
    <t>rez.</t>
  </si>
  <si>
    <t xml:space="preserve">Finansavimo šaltiniai ir pagrindinių projekto įgyvendinimo etapų terminai </t>
  </si>
  <si>
    <t>Iš viso:</t>
  </si>
  <si>
    <t>Savivaldybės biudžetas</t>
  </si>
  <si>
    <t>Rodyti</t>
  </si>
  <si>
    <t>Valstybės biudžetas</t>
  </si>
  <si>
    <t>Privačios lėšos</t>
  </si>
  <si>
    <t>ES lėšos</t>
  </si>
  <si>
    <t>senas</t>
  </si>
  <si>
    <t>naujas</t>
  </si>
  <si>
    <t>skirtumas</t>
  </si>
  <si>
    <t>m.</t>
  </si>
  <si>
    <t>ketv.</t>
  </si>
  <si>
    <t>ar esm</t>
  </si>
  <si>
    <t>Projekto užbaigimas</t>
  </si>
  <si>
    <t>Produkto vertinimo kriterijai</t>
  </si>
  <si>
    <t>Atitiktis Plano daliai „Strategija“</t>
  </si>
  <si>
    <t>klaidų skaičius</t>
  </si>
  <si>
    <t>Uždavinio Nr.</t>
  </si>
  <si>
    <t>Priemonės Nr.</t>
  </si>
  <si>
    <t>Projektas Nr.</t>
  </si>
  <si>
    <t>A</t>
  </si>
  <si>
    <t>4 lentelė</t>
  </si>
  <si>
    <t>4.1</t>
  </si>
  <si>
    <t>Informacija apie gautą pasiūlymą</t>
  </si>
  <si>
    <t>Pasiūlymą pateikė</t>
  </si>
  <si>
    <t>Pasiūlymo esmė</t>
  </si>
  <si>
    <t>Nurodyti pasiūlymo motyvai:</t>
  </si>
  <si>
    <t>Keičiami projekto požymiai</t>
  </si>
  <si>
    <t>Pavadinimas</t>
  </si>
  <si>
    <t>Iš viso klaidų:</t>
  </si>
  <si>
    <t>Automatinis klaidų patikrinimas (1 lentelė):</t>
  </si>
  <si>
    <t>Automatinis klaidų patikrinimas (3 lentelė ir 1 bei 3 lentelės atitiktis):</t>
  </si>
  <si>
    <t>Kitos pastabos ir pasiūlymai:</t>
  </si>
  <si>
    <t>Išvada:</t>
  </si>
  <si>
    <t>Pasiūlymo formoje yra netikslumų (patikslinti darbo tvarka)</t>
  </si>
  <si>
    <t>4.2</t>
  </si>
  <si>
    <t>Siūlomų pakeitimų įvertinimas</t>
  </si>
  <si>
    <t>Kitos viešosios lėšos (E stulpelyje nurodykite šaltinį)</t>
  </si>
  <si>
    <t>valdiškas pokytis</t>
  </si>
  <si>
    <t>pinigai</t>
  </si>
  <si>
    <t>.</t>
  </si>
  <si>
    <t>rodikliai</t>
  </si>
  <si>
    <t>terminai</t>
  </si>
  <si>
    <t>Rodiklis</t>
  </si>
  <si>
    <t>pokytis</t>
  </si>
  <si>
    <t>index n(eilute)</t>
  </si>
  <si>
    <t>vietinis index</t>
  </si>
  <si>
    <t>ar yra naujas</t>
  </si>
  <si>
    <t>kažkas keičiasi</t>
  </si>
  <si>
    <t>small</t>
  </si>
  <si>
    <t>4.3</t>
  </si>
  <si>
    <t>Atikties Plano daliai „Strategija“ įvertinimas</t>
  </si>
  <si>
    <t>Taip</t>
  </si>
  <si>
    <t>RPD prie VRM išvada dėl procedūros pradžios:</t>
  </si>
  <si>
    <t>ar rodiklio pokytis</t>
  </si>
  <si>
    <t>AR ITI</t>
  </si>
  <si>
    <t>ar naujas projektas</t>
  </si>
  <si>
    <t>ar išbraukiamas projektas</t>
  </si>
  <si>
    <t>Ar yra VB, ES, kitos viešosios</t>
  </si>
  <si>
    <t>ar uždavinio pokytis</t>
  </si>
  <si>
    <t>lygiavertis alt</t>
  </si>
  <si>
    <t>reikia pinigų</t>
  </si>
  <si>
    <t>Įvykdymo žyma↓</t>
  </si>
  <si>
    <t>Patvirtinantis dokumentas ar teisės aktas (data, pavadinimas ir numeris)↓</t>
  </si>
  <si>
    <t>Ar nurodytas esamo projekto pavadinimas ir numeris?</t>
  </si>
  <si>
    <t>Ar nurodyti pasiūlymo motyvai?</t>
  </si>
  <si>
    <t>Teisingai</t>
  </si>
  <si>
    <t>Ar tinkamai pažymėtas plano uždavinio ir priemonės keitimo būdas?</t>
  </si>
  <si>
    <t>pilni</t>
  </si>
  <si>
    <t>Ar tinkamai nurodytas keičiamo uždavinio ir priemonės numeris ir pavadinimas?</t>
  </si>
  <si>
    <t>Ar atitinka tikslo (uždavinio) ir priemonės numeracija?</t>
  </si>
  <si>
    <t>Ar užpildyti visi privalomi langeliai?</t>
  </si>
  <si>
    <t>Neatitinka pasirinkta ministerija ir projekto unikalus numeris, patikrinkite</t>
  </si>
  <si>
    <t>Neatitinka pasirinkta priemonė ir projekto unikalus numeris, patikrinkite</t>
  </si>
  <si>
    <t>Projekto pavadinimas viršija 150 simbolių. Patikrinkite ar nurodėte santrumpą?</t>
  </si>
  <si>
    <t>Patikrinkite pasirinktą projekto atrankos būdą</t>
  </si>
  <si>
    <t>Ar pasirinkta keičiama ITVP? Nurodykite keičiamą ITVP arba patikslinkite projekto požymius.</t>
  </si>
  <si>
    <t>Ar nurodytas kitų viešųjų lėšų šaltinis ir suma?</t>
  </si>
  <si>
    <t>Ar gali būti naudojamos ES lėšos? Pasirinkta ES lėšomis nefinansuojama priemonė</t>
  </si>
  <si>
    <t>Ar gali būti naudojamos valstybės biudžeto lėšos? Nenurodyta ministerija arba kitas asignavimų valdytojas</t>
  </si>
  <si>
    <t>Ar teisingai įvestos projekto etapų datos?</t>
  </si>
  <si>
    <t>Ar pasirinkta bent viena (pagrindinė) veiklų grupė?</t>
  </si>
  <si>
    <t>1.7.</t>
  </si>
  <si>
    <t>Įsitikinkite, kad lentelėje nėra vertinimo kriterijų su nenurodytomis reikšmėmis arba įvestų reikšmių nenurodant kriterijų</t>
  </si>
  <si>
    <t>3 lentelė nepildoma, pašalinkite perteklinę informaciją</t>
  </si>
  <si>
    <t>3 lentelė užpildyta su klaidomis</t>
  </si>
  <si>
    <t>Neatitinka pasiūlyme ir galiojančiame Plane nurodyta VP (KPP) priemonė, negali būti taikomas Plano keitimo būdas „Pakeisti esamą projektą"</t>
  </si>
  <si>
    <t>Neatitinka pasiūlyme ir galiojančiame Plane nurodyta ministerija, negali būti taikomas Plano keitimo būdas „Pakeisti esamą projektą"</t>
  </si>
  <si>
    <t>klaidu sk3 lentele</t>
  </si>
  <si>
    <t>4.</t>
  </si>
  <si>
    <t>Siūlomų pakeitimų įvertinimas atliekamas tik esant tinkamai užpildytai pasiūlymo formai; ištaisykite klaidas 1 ar 3 lentelėse</t>
  </si>
  <si>
    <t>2.1</t>
  </si>
  <si>
    <t>Ar nurodytas esamo veiksmo pavadinimas ir numeris?</t>
  </si>
  <si>
    <t>Ar atitinka Plano ir ITVP keitimo būdas?</t>
  </si>
  <si>
    <t>2.2</t>
  </si>
  <si>
    <t>Ar tinkamai pažymėtas ITVP uždavinio ir priemonės keitimo būdas?</t>
  </si>
  <si>
    <t>Lentelė nepildoma (pašalinkite perteklinę informaciją ir žymėjimus)</t>
  </si>
  <si>
    <t>Patikslinkite, ar reikalingas uždavinio pakeitimas?</t>
  </si>
  <si>
    <t>Patikslinkite, ar reikalingas priemonės pakeitimas?</t>
  </si>
  <si>
    <t>2.3</t>
  </si>
  <si>
    <t>Priemonės kodas</t>
  </si>
  <si>
    <t>Aplinkos ministerija</t>
  </si>
  <si>
    <t>05.1.1-APVA-R-007</t>
  </si>
  <si>
    <t>Paviršinių nuotekų sistemų tvarkymas</t>
  </si>
  <si>
    <t>uždavinys</t>
  </si>
  <si>
    <t>Siekti aktyvesnio turimos ir naujai kuriamos mokslinių tyrimų, eksperimentinės plėtros ir inovacijų infrastruktūros panaudojimo</t>
  </si>
  <si>
    <t>05.2.1-APVA-R-008</t>
  </si>
  <si>
    <t>Komunalinių atliekų tvarkymo infrastruktūros plėtra</t>
  </si>
  <si>
    <t>0</t>
  </si>
  <si>
    <t>1.2.1.</t>
  </si>
  <si>
    <t>Padidinti mokslinių tyrimų, eksperimentinės plėtros ir inovacijų veiklų aktyvumą privačiame sektoriuje</t>
  </si>
  <si>
    <t>05.3.2-APVA-R-014</t>
  </si>
  <si>
    <t>Geriamojo vandens tiekimo ir nuotekų tvarkymo sistemų renovavimas ir plėtra, įmonių valdymo tobulinimas</t>
  </si>
  <si>
    <t>1.2.2.</t>
  </si>
  <si>
    <t>Padidinti žinių komercinimo ir technologijų perdavimo mastą</t>
  </si>
  <si>
    <t>05.4.1-APVA-V-016</t>
  </si>
  <si>
    <t>Saugomų teritorijų ir valstybinės reikšmės parkų tvarkymas, pritaikymas lankymui</t>
  </si>
  <si>
    <t>2.1.1.</t>
  </si>
  <si>
    <t>Padidinti plačiajuosčių elektroninių ryšių tinklų infrastruktūros prieinamumą ir naudojimą vietovėse, kuriose naujos kartos prieigos infrastruktūros plėtros ir paslaugų teikimo negali užtikrinti rinka</t>
  </si>
  <si>
    <t>05.4.1-APVA-V-017</t>
  </si>
  <si>
    <t>Visuomenės informavimas apie aplinką ir aplinkosauginių–rekreacinių objektų tvarkymas</t>
  </si>
  <si>
    <t>2.1.2.</t>
  </si>
  <si>
    <t>Padidinti valstybės informacinės infrastruktūros ir išteklių apsaugos efektyvumą</t>
  </si>
  <si>
    <t>05.5.1-APVA-R-019</t>
  </si>
  <si>
    <t xml:space="preserve">Kraštovaizdžio apsauga </t>
  </si>
  <si>
    <t>2.2.1.</t>
  </si>
  <si>
    <t>Padidinti viešojo sektoriaus informacijos pakartotinį panaudojimą verslo ir visuomenės poreikiams</t>
  </si>
  <si>
    <t>05.6.1-APVA-V-021</t>
  </si>
  <si>
    <t>Aplinkos oro kokybės gerinimas</t>
  </si>
  <si>
    <t>2.2.2.</t>
  </si>
  <si>
    <t>Padidinti IRT paklausą ir naudojimą gyventojų tarpe</t>
  </si>
  <si>
    <t>Nenumatoma naudoti ES lėšų</t>
  </si>
  <si>
    <t>N</t>
  </si>
  <si>
    <t>2.3.1.</t>
  </si>
  <si>
    <t>Padidinti elektroninių viešųjų ir administracinių paslaugų prieinamumą ir kokybę</t>
  </si>
  <si>
    <t>K</t>
  </si>
  <si>
    <t>3.1.1.</t>
  </si>
  <si>
    <t>Padidinti verslumo lygį</t>
  </si>
  <si>
    <t>Energetikos ministerija</t>
  </si>
  <si>
    <t>3.2.1.</t>
  </si>
  <si>
    <t>Padidinti MVĮ tarptautiškumą</t>
  </si>
  <si>
    <t>3.3.1.</t>
  </si>
  <si>
    <t>Padidinti MVĮ produktyvumą</t>
  </si>
  <si>
    <t>Kultūros ministerija</t>
  </si>
  <si>
    <t>05.4.1-CPVA-V-301</t>
  </si>
  <si>
    <t>Aktualizuoti kultūros paveldo objektus</t>
  </si>
  <si>
    <t>3.3.2.</t>
  </si>
  <si>
    <t>Padidinti MVĮ investicijas į ekoinovacijas ir kitas efektyviai išteklius naudojančias technologijas</t>
  </si>
  <si>
    <t>05.4.1-CPVA-R-302</t>
  </si>
  <si>
    <t>Aktualizuoti savivaldybių kultūros paveldo objektus</t>
  </si>
  <si>
    <t>4.1.1.</t>
  </si>
  <si>
    <t>Padidinti atsinaujinančių išteklių energijos naudojimą</t>
  </si>
  <si>
    <t>07.1.1-CPVA-V-304</t>
  </si>
  <si>
    <t>Modernizuoti kultūros infrastruktūrą</t>
  </si>
  <si>
    <t>4.2.1.</t>
  </si>
  <si>
    <t>Sumažinti energijos vartojimo intensyvumą pramonės įmonėse</t>
  </si>
  <si>
    <t>07.1.1-CPVA-R-305</t>
  </si>
  <si>
    <t>Modernizuoti savivaldybių kultūros infrastruktūrą</t>
  </si>
  <si>
    <t>4.3.1.</t>
  </si>
  <si>
    <t>Sumažinti energijos suvartojimą viešojoje infrastruktūroje ir daugiabučiuose namuose</t>
  </si>
  <si>
    <t>07.1.1-CPVA-R-306</t>
  </si>
  <si>
    <t>Modernizuoti didžiausio ekonominio potencialo kultūros infrastruktūrą</t>
  </si>
  <si>
    <t>4.3.2.</t>
  </si>
  <si>
    <t>Padidinti energijos vartojimo efektyvumą šilumos tiekimo srityje ir namų ūkiuose</t>
  </si>
  <si>
    <t>4.4.1.</t>
  </si>
  <si>
    <t>Išbandyti pažangiojo tinklo technologijų diegimo perspektyvas</t>
  </si>
  <si>
    <t>4.5.1.</t>
  </si>
  <si>
    <t>Skatinti darnų judumą ir plėtoti aplinkai draugišką transportą, siekiant sumažinti anglies dioksido išmetimus</t>
  </si>
  <si>
    <t>Socialinės apsaugos ir darbo ministerija</t>
  </si>
  <si>
    <t>08.1.1-CPVA-R-407</t>
  </si>
  <si>
    <t>Socialinių paslaugų infrastruktūros plėtra</t>
  </si>
  <si>
    <t>5.1.1.</t>
  </si>
  <si>
    <t>Sumažinti dėl klimato kaitos atsirandančius nuostolius</t>
  </si>
  <si>
    <t>08.1.2-CPVA-R-408</t>
  </si>
  <si>
    <t>Socialinio būsto fondo plėtra</t>
  </si>
  <si>
    <t>5.2.1.</t>
  </si>
  <si>
    <t>Sumažinti sąvartynuose šalinamų komunalinių atliekų kiekį ir užtikrinti tinkamą radioaktyvių atliekų saugojimą</t>
  </si>
  <si>
    <t>08.4.1-ESFA-V-416</t>
  </si>
  <si>
    <t>Kompleksinės paslaugos šeimai</t>
  </si>
  <si>
    <t>5.3.1.</t>
  </si>
  <si>
    <t>Pagerinti Baltijos jūros ir kitų paviršinių vandens telkinių būklę</t>
  </si>
  <si>
    <t>5.3.2.</t>
  </si>
  <si>
    <t>Padidinti vandens tiekimo ir nuotekų tvarkymo paslaugų prieinamumą ir sistemos efektyvumą</t>
  </si>
  <si>
    <t>5.4.1.</t>
  </si>
  <si>
    <t>Padidinti kultūros ir gamtos paveldo aktualumą, lankomumą ir žinomumą, visuomenės informuotumą apie juos supančią aplinką</t>
  </si>
  <si>
    <t>Susisiekimo ministerija</t>
  </si>
  <si>
    <t>06.1.1-TID-V-501</t>
  </si>
  <si>
    <t>TEN-T kelių tinklo techninių parametrų gerinimas ir pralaidumo didinimas</t>
  </si>
  <si>
    <t>5.5.1.</t>
  </si>
  <si>
    <t>Pagerinti vietinės augalijos ir gyvūnijos rūšių, buveinių ir kraštovaizdžio arealų būklę</t>
  </si>
  <si>
    <t>06.1.1-TID-V-502</t>
  </si>
  <si>
    <t>Miestų aplinkkelių tiesimas</t>
  </si>
  <si>
    <t>5.6.1.</t>
  </si>
  <si>
    <t>Sumažinti miestuose kietųjų dalelių ore ir cheminių medžiagų grunte pavojaus sveikatai ir aplinkai taršos lygį</t>
  </si>
  <si>
    <t>06.2.1-TID-V-508</t>
  </si>
  <si>
    <t>Vieno lygio eismo sankirtų eliminavimas</t>
  </si>
  <si>
    <t>6.1.1.</t>
  </si>
  <si>
    <t>Padidinti šalies daugiarūšės susisiekimo sistemos ir transeuropinių transporto tinklų sąveiką</t>
  </si>
  <si>
    <t>06.2.1-TID-V-507</t>
  </si>
  <si>
    <t>Regionų pasiekiamumo gerinimas</t>
  </si>
  <si>
    <t>6.2.1.</t>
  </si>
  <si>
    <t>Padidinti regionų judumą plėtojant regionų jungtis su pagrindiniu šalies transporto tinklu ir diegiant eismo saugos priemones</t>
  </si>
  <si>
    <t>06.2.1-TID-R-511</t>
  </si>
  <si>
    <t>Vietinių kelių vystymas</t>
  </si>
  <si>
    <t>6.3.1.</t>
  </si>
  <si>
    <t>Sustiprinti integraciją į Europos Sąjungos vidaus energijos rinką</t>
  </si>
  <si>
    <t>06.2.1-TID-V-512</t>
  </si>
  <si>
    <t>Miestų transporto infrastruktūros vystymas įgyvendinant valstybei svarbius jungtinius projektus</t>
  </si>
  <si>
    <t>7.1.1.</t>
  </si>
  <si>
    <t>Padidinti ūkinės veiklos įvairovę ir pagerinti sąlygas investicijų pritraukimui, siekiant kurti naujas darbo vietas tikslinėse teritorijose (miestuose)</t>
  </si>
  <si>
    <t>04.5.1-TID-V-513</t>
  </si>
  <si>
    <t>Darnaus judumo sistemų kūrimas</t>
  </si>
  <si>
    <t>7.2.1.</t>
  </si>
  <si>
    <t>Pagerinti darbo rinkos institucijų paslaugų kokybę ir prieinamumą</t>
  </si>
  <si>
    <t>04.5.1-TID-R-514</t>
  </si>
  <si>
    <t>Darnaus judumo priemonių diegimas</t>
  </si>
  <si>
    <t>7.3.1.</t>
  </si>
  <si>
    <t>Padidinti gyventojų, ypač ilgalaikių ir nekvalifikuotų bedarbių bei neįgaliųjų, užimtumą</t>
  </si>
  <si>
    <t>04.5.1-TID-R-516</t>
  </si>
  <si>
    <t>Pėsčiųjų ir dviračių takų rekonstrukcija ir plėtra</t>
  </si>
  <si>
    <t xml:space="preserve">7.3.2. </t>
  </si>
  <si>
    <t>Padidinti valstybės įdarbinimo tarnybos veiksmingumą ir labiau orientuoti į rezultatus</t>
  </si>
  <si>
    <t>04.5.1-TID-V-517</t>
  </si>
  <si>
    <t>Miesto viešojo transporto priemonių parko atnaujinimas</t>
  </si>
  <si>
    <t>7.3.3.</t>
  </si>
  <si>
    <t>Padidinti darbo paklausą skatinant gyventojų, ypač susiduriančių su sunkumais darbo rinkoje, verslumą</t>
  </si>
  <si>
    <t>04.5.1-TID-R-518</t>
  </si>
  <si>
    <t>Vietinio susisiekimo viešojo transporto priemonių parko atnaujinimas</t>
  </si>
  <si>
    <t>7.3.4.</t>
  </si>
  <si>
    <t>Pagerinti visuomenės, verslo ir viešojo sektoriaus supratimą apie moterų ir vyrų lygių galimybių bei nediskriminavimo dėl amžiaus, negalios ir kitų pagrindų principų taikymą ir sustiprinti gebėjimus atpažinti bei šalinti diskriminavimo apraiškas</t>
  </si>
  <si>
    <t>7.4.1.</t>
  </si>
  <si>
    <t>Sumažinti nedirbančio, nesimokančio ir mokymuose nedalyvaujančio 15-29 m. amžiaus jaunimo skaičių</t>
  </si>
  <si>
    <t>8.1.1.</t>
  </si>
  <si>
    <t>Padidinti bendruomenėje teikiamų socialinių paslaugų dalį, pereinant nuo institucinės globos prie bendruomeninių paslaugų</t>
  </si>
  <si>
    <t>Sveikatos apsaugos ministerija</t>
  </si>
  <si>
    <t>08.1.3-CPVA-R-609</t>
  </si>
  <si>
    <t>Pirminės asmens ir visuomenės sveikatos priežiūros veiklos efektyvumo didinimas</t>
  </si>
  <si>
    <t>8.1.2.</t>
  </si>
  <si>
    <t>Padidinti socialinio būsto prieinamumą pažeidžiamiausioms gyventojų grupėms</t>
  </si>
  <si>
    <t>08.4.2-ESFA-R-630</t>
  </si>
  <si>
    <t>Sveikos gyvensenos skatinimas regioniniu lygiu</t>
  </si>
  <si>
    <t>8.1.3.</t>
  </si>
  <si>
    <t>Pagerinti sveikatos priežiūros kokybę ir prieinamumą tikslinėms gyventojų grupėms bei sumažinti sveikatos netolygumus</t>
  </si>
  <si>
    <t>08.4.2-ESFA-R-615</t>
  </si>
  <si>
    <t>Socialinės paramos priemonių, gerinančių ambulatorinių sveikatos priežiūros paslaugų prieinamumą tuberkulioze sergantiems pacientams, įgyvendinimas</t>
  </si>
  <si>
    <t>8.2.1.</t>
  </si>
  <si>
    <t>Sumažinti geografinių sąlygų ir demografinių procesų sukeliamus gyvenimo kokybės netolygumus</t>
  </si>
  <si>
    <t>8.3.1.</t>
  </si>
  <si>
    <t>Padidinti labiausiai nutolusių nuo darbo rinkos asmenų integraciją į darbo rinką</t>
  </si>
  <si>
    <t>8.3.2.</t>
  </si>
  <si>
    <t>Padidinti vyresnio darbingo amžiaus asmenų dalyvavimą darbo rinkoje ir savanoriškoje veikloje</t>
  </si>
  <si>
    <t>Švietimo ir mokslo ministerija</t>
  </si>
  <si>
    <t>09.1.3-CPVA-R-705</t>
  </si>
  <si>
    <t>Ikimokyklinio ir priešmokyklinio ugdymo prieinamumo didinimas</t>
  </si>
  <si>
    <t>8.4.1.</t>
  </si>
  <si>
    <t>Padidinti bendruomenėje teikiamų paslaugų prieinamumą ir kokybę, plėtoti paslaugas šeimai</t>
  </si>
  <si>
    <t>09.1.2-CPVA-V-721</t>
  </si>
  <si>
    <t>Sektorinių praktinio mokymo centrų plėtra</t>
  </si>
  <si>
    <t xml:space="preserve">8.4.2. </t>
  </si>
  <si>
    <t>Sumažinti sveikatos netolygumus, gerinant sveikatos priežiūros kokybę ir prieinamumą tikslinėms gyventojų grupėms ir skatinti sveiką senėjimą</t>
  </si>
  <si>
    <t>09.1.3-CPVA-R-724</t>
  </si>
  <si>
    <t>Mokyklų tinklo efektyvumo didinimas</t>
  </si>
  <si>
    <t>8.5.1.</t>
  </si>
  <si>
    <t>Paskatinti socialinį verslumą ir socialinę atsakomybę didinančių iniciatyvų atsiradimą</t>
  </si>
  <si>
    <t>09.1.3-CPVA-R-725</t>
  </si>
  <si>
    <t>Neformaliojo švietimo infrastruktūros tobulinimas</t>
  </si>
  <si>
    <t>8.6.1.</t>
  </si>
  <si>
    <t>Pagerinti vietines įsidarbinimo galimybes ir didinti bendruomenių socialinę integraciją, išnaudojant vietos bendruomenių, verslo ir vietos valdžios ryšius</t>
  </si>
  <si>
    <t>9.1.1.</t>
  </si>
  <si>
    <t>Tobulinti ir koncentruoti studijų infrastruktūrą, siekiant aukštesnės studijų kokybės</t>
  </si>
  <si>
    <t>9.1.2.</t>
  </si>
  <si>
    <t>Padidinti kokybiško profesinio ir suaugusiųjų mokymo prieinamumą investuojant į infrastruktūrą</t>
  </si>
  <si>
    <t>Ūkio ministerija</t>
  </si>
  <si>
    <t>01.2.1-LVPA-V-830</t>
  </si>
  <si>
    <t>Smartparkas LT</t>
  </si>
  <si>
    <t>9.1.3.</t>
  </si>
  <si>
    <t>Padidinti bendrojo ugdymo ir neformaliojo švietimo įstaigų (ypač vykdančių ikimokyklinio ir priešmokyklinio ugdymo programas) tinklo veiklos efektyvumą</t>
  </si>
  <si>
    <t>05.4.1-LVPA-R-821</t>
  </si>
  <si>
    <t>Savivaldybes jungiančių turizmo trasų ir turizmo maršrutų informacinės infrastruktūros plėtra</t>
  </si>
  <si>
    <t>9.2.1.</t>
  </si>
  <si>
    <t>Pagerinti mokinių ugdymo pasiekimus skatinant pokyčius švietimo įstaigų veikloje</t>
  </si>
  <si>
    <t>9.2.2.</t>
  </si>
  <si>
    <t>Sumažinti anksti iš švietimo sistemos pasitraukusių ir bendrojo ugdymo programos nebaigusių asmenų skaičių</t>
  </si>
  <si>
    <t>9.3.1.</t>
  </si>
  <si>
    <t>Siekiant geresnės studijų atitikties darbo rinkos ir visuomenės poreikiams, gerinti studijų kokybę ir didinti studijų prieinamumą</t>
  </si>
  <si>
    <t>Vidaus reikalų ministerija</t>
  </si>
  <si>
    <t>07.1.1-CPVA-V-902</t>
  </si>
  <si>
    <t>9.3.2.</t>
  </si>
  <si>
    <t>Stiprinti aukštojo mokslo stebėseną, išorinį vertinimą ir efektyvų studijų valdymą, siekiant nuolatinio studijų kokybės gerinimo</t>
  </si>
  <si>
    <t>07.1.1-CPVA-R-903</t>
  </si>
  <si>
    <t>9.3.3.</t>
  </si>
  <si>
    <t>Sustiprinti viešojo sektoriaus tyrėjų gebėjimus bei pajėgumus vykdyti aukšto lygio MTEP veiklas</t>
  </si>
  <si>
    <t>07.1.1-CPVA-R-904</t>
  </si>
  <si>
    <t>9.4.1.</t>
  </si>
  <si>
    <t>Padidinti profesinio ir suaugusiųjų mokymo atitiktį darbo rinkos poreikiams ir patrauklumą</t>
  </si>
  <si>
    <t>07.1.1-CPVA-R-905</t>
  </si>
  <si>
    <t>9.4.2.</t>
  </si>
  <si>
    <t>Sukurti sąlygas ir paskatas mokymuisi visą gyvenimą, užtikrinant veiksmingą pagalbą tobulinantis</t>
  </si>
  <si>
    <t>9.4.3.</t>
  </si>
  <si>
    <t>Padidinti dirbančių žmogiškųjų išteklių konkurencingumą, užtikrinant galimybes prisitaikyti prie ūkio poreikių</t>
  </si>
  <si>
    <t>08.2.1-CPVA-R-908</t>
  </si>
  <si>
    <t>10.1.1.</t>
  </si>
  <si>
    <t>Padidinti valdymo orientaciją į rezultatus</t>
  </si>
  <si>
    <t>10.1.3-ESFA-R-920</t>
  </si>
  <si>
    <t>10.1.2.</t>
  </si>
  <si>
    <t>Padidinti viešojo valdymo procesų skaidrumą ir atvirumą</t>
  </si>
  <si>
    <t>10.1.3.</t>
  </si>
  <si>
    <t>Pagerinti visuomenei teikiamų paslaugų kokybę, didinant jų atitikimą visuomenės poreikiams</t>
  </si>
  <si>
    <t>10.1.4.</t>
  </si>
  <si>
    <t>Pagerinti verslo reguliavimo aplinką</t>
  </si>
  <si>
    <t>Žemės ūkio ministerija</t>
  </si>
  <si>
    <t>M07-7.2-R</t>
  </si>
  <si>
    <t>10.1.5.</t>
  </si>
  <si>
    <t>Pagerinti žmogiškųjų išteklių valdymą valstybinėje tarnyboje</t>
  </si>
  <si>
    <t>M07-7.6-R</t>
  </si>
  <si>
    <t>AM</t>
  </si>
  <si>
    <t>EM</t>
  </si>
  <si>
    <t>KM</t>
  </si>
  <si>
    <t>SADM</t>
  </si>
  <si>
    <t>SM</t>
  </si>
  <si>
    <t>SAM</t>
  </si>
  <si>
    <t>ŠMM</t>
  </si>
  <si>
    <t>ŪM</t>
  </si>
  <si>
    <t>ŽŪM</t>
  </si>
  <si>
    <t>B</t>
  </si>
  <si>
    <t>C</t>
  </si>
  <si>
    <t>plėtros plano</t>
  </si>
  <si>
    <t>integruotos teritorijų vystymo programos</t>
  </si>
  <si>
    <t>R01</t>
  </si>
  <si>
    <t>Alytaus</t>
  </si>
  <si>
    <t>Alytaus regiono</t>
  </si>
  <si>
    <t>Kauno</t>
  </si>
  <si>
    <t>Kauno miesto</t>
  </si>
  <si>
    <t>Kauno regiono</t>
  </si>
  <si>
    <t>R02</t>
  </si>
  <si>
    <t>Klaipėdos miesto</t>
  </si>
  <si>
    <t>R03</t>
  </si>
  <si>
    <t>Marijampolės</t>
  </si>
  <si>
    <t>Marijampolės regiono</t>
  </si>
  <si>
    <t>R04</t>
  </si>
  <si>
    <t>Panevėžio</t>
  </si>
  <si>
    <t>Panevėžio miesto</t>
  </si>
  <si>
    <t>Panevėžio regiono</t>
  </si>
  <si>
    <t>R05</t>
  </si>
  <si>
    <t>Šiaulių</t>
  </si>
  <si>
    <t>Šiaulių miesto</t>
  </si>
  <si>
    <t>Šiaulių regiono</t>
  </si>
  <si>
    <t>R06</t>
  </si>
  <si>
    <t>Telšių</t>
  </si>
  <si>
    <t>Telšių regiono</t>
  </si>
  <si>
    <t>R07</t>
  </si>
  <si>
    <t>Tauragės</t>
  </si>
  <si>
    <t>Tauragės regiono</t>
  </si>
  <si>
    <t>R08</t>
  </si>
  <si>
    <t>Utenos</t>
  </si>
  <si>
    <t>Utenos regiono</t>
  </si>
  <si>
    <t>R09</t>
  </si>
  <si>
    <t>Vilniaus</t>
  </si>
  <si>
    <t>Vilniaus miesto</t>
  </si>
  <si>
    <t>Vilniaus regiono</t>
  </si>
  <si>
    <t>R10</t>
  </si>
  <si>
    <t>V</t>
  </si>
  <si>
    <t>ITI</t>
  </si>
  <si>
    <t>Nepagrįsta</t>
  </si>
  <si>
    <t>Reikalingų papildomų lėšų šaltinis nežinomas</t>
  </si>
  <si>
    <t>Pirminė</t>
  </si>
  <si>
    <t>Teikiama tvirtinti</t>
  </si>
  <si>
    <t>Įtraukti naują projektą</t>
  </si>
  <si>
    <t>Įtraukti naują veiksmą</t>
  </si>
  <si>
    <t>Pasiūlymo forma užpildyta tinkamai</t>
  </si>
  <si>
    <t>Išbraukti esamą projektą</t>
  </si>
  <si>
    <t>Išbraukti esamą veiksmą</t>
  </si>
  <si>
    <t>Grąžinti pasiūlymą tobulinti</t>
  </si>
  <si>
    <t>Nustatyti naują uždavinį</t>
  </si>
  <si>
    <t>N_N_U</t>
  </si>
  <si>
    <t>Nustatyti naują priemonę</t>
  </si>
  <si>
    <t>N_N_PRIEM</t>
  </si>
  <si>
    <t>Projektą priskirti kitam uždaviniui</t>
  </si>
  <si>
    <t>P_K_U</t>
  </si>
  <si>
    <t>Nustatyti naują projektą</t>
  </si>
  <si>
    <t>N_N_PROJ</t>
  </si>
  <si>
    <t>pasirinktos</t>
  </si>
  <si>
    <t>Kodas</t>
  </si>
  <si>
    <t>AMV</t>
  </si>
  <si>
    <t>EMV</t>
  </si>
  <si>
    <t>KMV</t>
  </si>
  <si>
    <t>SADMV</t>
  </si>
  <si>
    <t>SMV</t>
  </si>
  <si>
    <t>SAMV</t>
  </si>
  <si>
    <t>ŠMMV</t>
  </si>
  <si>
    <t>ŪMV</t>
  </si>
  <si>
    <t>VRMV</t>
  </si>
  <si>
    <t>ŽŪMV</t>
  </si>
  <si>
    <t>–V</t>
  </si>
  <si>
    <t>00</t>
  </si>
  <si>
    <t>Atsinaujinančių energijos šaltinių diegimas</t>
  </si>
  <si>
    <t>01</t>
  </si>
  <si>
    <t>Kitos viešosios infrastruktūros modernizavimas (pastatai ir statiniai): kultūros objektai</t>
  </si>
  <si>
    <t>Socialinio būsto infrastruktūra (nauja statyba arba pritaikymas)</t>
  </si>
  <si>
    <t>Viešojo transporto infrastruktūra</t>
  </si>
  <si>
    <t>Socialinių ir sveikatos paslaugų infrastruktūra</t>
  </si>
  <si>
    <t>Aukštojo mokslo įstaigų modernizavimas</t>
  </si>
  <si>
    <t>Viešoji tyrimų ir inovacijų infrastruktūra</t>
  </si>
  <si>
    <t>Viešųjų pastatų energinio efektyvumo didinimas</t>
  </si>
  <si>
    <t>02</t>
  </si>
  <si>
    <t>Kultūros paveldo objektų sutvarkymas ir pritaikymas</t>
  </si>
  <si>
    <t>Socialinio būsto įsigijimas</t>
  </si>
  <si>
    <t>Viešojo transporto priemonių įsigijimas</t>
  </si>
  <si>
    <t>Kitos viešosios infrastruktūros modernizavimas (pastatai ir statiniai): sveikatinimo ir sporto objektai</t>
  </si>
  <si>
    <t>Profesinio ar suaugusiųjų mokymo įstaigų modernizavimas</t>
  </si>
  <si>
    <t>Viešoji verslui skirta infrastruktūra (pramoniniai parkai, pramonės zonos ir pan.)</t>
  </si>
  <si>
    <t>Vietinės reikšmės keliai ir gatvės (statyba)</t>
  </si>
  <si>
    <t>Viešosios infrastruktūros (išskyrus pastatus) energinio efektyvumo didinimas</t>
  </si>
  <si>
    <t>03</t>
  </si>
  <si>
    <t>Kompleksinių paveldo objektų sutvarkymas ir pritaikymas</t>
  </si>
  <si>
    <t>Sveikatos paslaugų plėtra (ne infrastruktūra)</t>
  </si>
  <si>
    <t>Bendrojo lavinimo mokyklų modernizavimas</t>
  </si>
  <si>
    <t>Viešoji turizmo infrastruktūra</t>
  </si>
  <si>
    <t>Vietinės reikšmės keliai ir gatvės (rekonstrukcija)</t>
  </si>
  <si>
    <t>Gyvenamųjų namų energinio efektyvumo didinimas</t>
  </si>
  <si>
    <t>04</t>
  </si>
  <si>
    <t>Kita (nepriskirta kitoms grupėms) viešoji infrastruktūra ar paslaugos</t>
  </si>
  <si>
    <t>Ikimokyklinio ar priešmokyklinio ugdymo įstaigų modernizavimas</t>
  </si>
  <si>
    <t>Viešosios turizmo paslaugos</t>
  </si>
  <si>
    <t>Valstybinės reikšmės keliai ir gatvės (statyba)</t>
  </si>
  <si>
    <t>Atliekų tvarkymas (mažinimo, rūšiavimo ir perdirbimo skatinimo priemonės)</t>
  </si>
  <si>
    <t>05</t>
  </si>
  <si>
    <t>Privačių juridinių asmenų ir juridinio asmens statuso neturinčių organizacijų gamybos srities projektai</t>
  </si>
  <si>
    <t>Socialinių paslaugų plėtra (ne infrastruktūra)</t>
  </si>
  <si>
    <t>Neformaliojo švietimo įstaigų modernizavimas</t>
  </si>
  <si>
    <t>Valstybinės reikšmės keliai ir gatvės (rekonstrukcija)</t>
  </si>
  <si>
    <t>Vandentvarka (esamų geriamo vandens ir nuotekų tinklų modernizavimas)</t>
  </si>
  <si>
    <t>06</t>
  </si>
  <si>
    <t>Privačių juridinių asmenų ir juridinio asmens statuso neturinčių organizacijų paslaugų srities projektai</t>
  </si>
  <si>
    <t>Gamtos paveldo objektų sutvarkymas ir pritaikymas</t>
  </si>
  <si>
    <t>Darnaus judumo priemonės miestuose (pėsčiųjų ir dviračių takų infrastruktūra, Park and Ride, Bike and Ride aikštelės, elektromobilių įkrovimo stotelių įrengimas ir kita)</t>
  </si>
  <si>
    <t>Vandentvarka (naujų tinklų įrengimas)</t>
  </si>
  <si>
    <t>07</t>
  </si>
  <si>
    <t>Daugiarūšio transporto plėtra</t>
  </si>
  <si>
    <t>Lietaus nuotekų sistemų modernizavimas ir plėtra</t>
  </si>
  <si>
    <t>08</t>
  </si>
  <si>
    <t>Oro uostų ir aerodromų infrastruktūra</t>
  </si>
  <si>
    <t>Kitos viešosios infrastruktūros modernizavimas (viešosios erdvės): rekreacinės teritorijos ir gamtinis karkasas</t>
  </si>
  <si>
    <t>09</t>
  </si>
  <si>
    <t>Regioninė ir vietinė vandens transporto infrastruktūra</t>
  </si>
  <si>
    <t>Kitos viešosios infrastruktūros modernizavimas (viešosios erdvės): visuomeninės, komercinės ir bendro naudojimo paskirties teritorijos</t>
  </si>
  <si>
    <t>10</t>
  </si>
  <si>
    <t>Intelektinės transporto sistemos</t>
  </si>
  <si>
    <t>Kitos viešosios infrastruktūros modernizavimas (viešosios erdvės): gyvenamosios paskirties teritorijos</t>
  </si>
  <si>
    <t>11</t>
  </si>
  <si>
    <t>Kitos viešosios infrastruktūros modernizavimas (konversija): pramoninių, buvusių karinių, inžinerinių ir pan. objektų ir teritorijų konversija</t>
  </si>
  <si>
    <t>12</t>
  </si>
  <si>
    <t>Pėsčiųjų ir dviračių takai (ne miesto vietovėse)</t>
  </si>
  <si>
    <t>13</t>
  </si>
  <si>
    <t>Viešojo valdymo tobulinimas</t>
  </si>
  <si>
    <t>14</t>
  </si>
  <si>
    <t>Oro kokybės gerinimas (gatvių valymo technikos įsigijimas, technologijų diegimas)</t>
  </si>
  <si>
    <t>Kitos viešosios infrastruktūros modernizavimas (pastatai ir statiniai): bendruomenės, nevyriausybinių organizacijų veiklai pritaikomi pastatai</t>
  </si>
  <si>
    <t>15</t>
  </si>
  <si>
    <t>Kraštovaizdžio tvarkymas (kraštovaizdžio etalonai, pažeistos teritorijos ir pan.)</t>
  </si>
  <si>
    <t>16</t>
  </si>
  <si>
    <t>Natura 2000 teritorijų tvarkymas ir pritaikymas</t>
  </si>
  <si>
    <t>17</t>
  </si>
  <si>
    <t>Užterštų teritorijų išvalymas</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</si>
  <si>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</si>
  <si>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</si>
  <si>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</si>
  <si>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</si>
  <si>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</si>
  <si>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</si>
  <si>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</si>
  <si>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</si>
  <si>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</si>
  <si>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</si>
  <si>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</si>
  <si>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</si>
  <si>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</si>
  <si>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</si>
  <si>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</si>
  <si>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</si>
  <si>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</si>
  <si>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</si>
  <si>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</si>
  <si>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</si>
  <si>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</si>
  <si>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</si>
  <si>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</si>
  <si>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</si>
  <si>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</si>
  <si>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</si>
  <si>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</si>
  <si>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</si>
  <si>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</si>
  <si>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</si>
  <si>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</si>
  <si>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</si>
  <si>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</si>
  <si>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</si>
  <si>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</si>
  <si>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Min_veikla</t>
  </si>
  <si>
    <t>Požymiai</t>
  </si>
  <si>
    <t>Lėšų poreikis ir finansavimo šaltiniai (Eur)</t>
  </si>
  <si>
    <t>Projekto etapai</t>
  </si>
  <si>
    <t>ITI, RSP, –</t>
  </si>
  <si>
    <t>1.6.1.</t>
  </si>
  <si>
    <t xml:space="preserve">Uždavinys: </t>
  </si>
  <si>
    <t>-</t>
  </si>
  <si>
    <t>1.2.(...)</t>
  </si>
  <si>
    <t xml:space="preserve">Priemonė: </t>
  </si>
  <si>
    <t>Projektams priskirti produkto vertinimo kriterijai</t>
  </si>
  <si>
    <t>SUM TRUE (visi)</t>
  </si>
  <si>
    <t>Default</t>
  </si>
  <si>
    <t>SMALL</t>
  </si>
  <si>
    <t>Rodiklių planas (kaupiamsis)</t>
  </si>
  <si>
    <t>Sutarčių planas (kaupiamasis)</t>
  </si>
  <si>
    <t>1.1. Uždavinys:</t>
  </si>
  <si>
    <t>Produktų sukūrimo grafikas (kaupiamuoju būdu):</t>
  </si>
  <si>
    <t>Rodiklio pavadinimas, matavimo vienetai</t>
  </si>
  <si>
    <t>Siekiama reikšmė</t>
  </si>
  <si>
    <t>2014 m.</t>
  </si>
  <si>
    <t>2015 m.</t>
  </si>
  <si>
    <t>2016 m.</t>
  </si>
  <si>
    <t>2017 m.</t>
  </si>
  <si>
    <t>2018 m.</t>
  </si>
  <si>
    <t>2019 m.</t>
  </si>
  <si>
    <t>2020 m.</t>
  </si>
  <si>
    <t>2021 m.</t>
  </si>
  <si>
    <t>2022 m.</t>
  </si>
  <si>
    <t>2023 m.</t>
  </si>
  <si>
    <t>Pradžia (metai)</t>
  </si>
  <si>
    <t>Pabaiga (metai)</t>
  </si>
  <si>
    <t>Vykdytojas</t>
  </si>
  <si>
    <t>Veiksmų programos konkretaus uždavinio numeris ir pavadinimas</t>
  </si>
  <si>
    <t>Veiksmo atrankos būdas (R, V, –)</t>
  </si>
  <si>
    <t>Iš viso veiksmui įgyvendinti:</t>
  </si>
  <si>
    <t>Valstybės biudžeto lėšos:</t>
  </si>
  <si>
    <t>Savivaldybės biudžeto lėšos:</t>
  </si>
  <si>
    <t>Privačios lėšos:</t>
  </si>
  <si>
    <t>ES lėšos:</t>
  </si>
  <si>
    <t>iš jų bendrasis finansavimas:</t>
  </si>
  <si>
    <t xml:space="preserve"> </t>
  </si>
  <si>
    <t>Uždavinio įgyvendinimo priemonės:</t>
  </si>
  <si>
    <t>Lėšų poreikis (iš viso)</t>
  </si>
  <si>
    <t>tūkst. Lt</t>
  </si>
  <si>
    <t>Iš jų viešosios lėšos**, tūkst. Lt</t>
  </si>
  <si>
    <t>Iš jų ES lėšos, tūkst. Lt</t>
  </si>
  <si>
    <t>Sukuriamas produktas (produkto rodiklio pavadinimas, matavimo vienetai, kiekybinė reikšmė)</t>
  </si>
  <si>
    <t>1.1.1.(v) Viešųjų materialinių ir (ar) nematerialinių investicijų (ES, valstybės, savivaldybių biudžetų ir kitų viešųjų lėšų) lėšomis numatomos įgyvendinti priemonės (kurios programos veiksmų plane bus detalizuotos iki veiksmų):</t>
  </si>
  <si>
    <t>1.1.1.1. ...</t>
  </si>
  <si>
    <t>1.1.1.2. ...</t>
  </si>
  <si>
    <t>1.1.2 (v) Viešojo ir privataus sektoriaus partnerystės būdu numatomos įgyvendinti priemonės, kurių dalį lėšų sudaro ES lėšos, valstybės, savivaldybių biudžetai ir kitos viešosios lėšos (kurios programos veiksmų plane bus detalizuotos iki veiksmų):</t>
  </si>
  <si>
    <t>1.1.2.1. ...</t>
  </si>
  <si>
    <t>1.1.2.2. ...</t>
  </si>
  <si>
    <t>1.1.3. Priemonės, kurių įgyvendinimui numatomos naudoti finansinės priemonės:</t>
  </si>
  <si>
    <t>1.1.3.1. ...</t>
  </si>
  <si>
    <t>1.1.3.2. ...</t>
  </si>
  <si>
    <t>1.1.4. Organizacinio, administracinio pobūdžio priemonės (pavyzdžiui, esamų įstaigų veiklos optimizavimas):</t>
  </si>
  <si>
    <t>1.1.4.1. ...</t>
  </si>
  <si>
    <t>1.1.4.2. ...</t>
  </si>
  <si>
    <t>1.1.5. Priemonės, siūlomos įgyvendinti per bendruomenės inicijuotos vietos plėtros iniciatyvą:</t>
  </si>
  <si>
    <t>1.1.5.1. ...</t>
  </si>
  <si>
    <t>X*</t>
  </si>
  <si>
    <t>X</t>
  </si>
  <si>
    <t>1.1.5.2. ...</t>
  </si>
  <si>
    <t>1.1.6. Priemonės, siūlomos įgyvendinti per konkurso būdu atrenkamus veiksmus</t>
  </si>
  <si>
    <t>1.1.6.1. ...</t>
  </si>
  <si>
    <t>1.1.6.2. ...</t>
  </si>
  <si>
    <t>1.1.7. Privačiomis lėšomis siūlomos įgyvendinti priemonės</t>
  </si>
  <si>
    <t>1.1.7.1. ...</t>
  </si>
  <si>
    <t>1.1.7.2. ...</t>
  </si>
  <si>
    <t>Lėšų poreikis uždaviniui įgyvendinti:</t>
  </si>
  <si>
    <t>* X pažymėti langeliai nepildomi.</t>
  </si>
  <si>
    <t>** ES, valstybės, savivaldybių biudžetų ar kitos viešosios lėšos.</t>
  </si>
  <si>
    <t>D</t>
  </si>
  <si>
    <t>F</t>
  </si>
  <si>
    <t>Integruotų teritorijų vystymo programų rengimo ir įgyvendinimo gairių 1 priedas</t>
  </si>
  <si>
    <t>Integruotų teritorijų vystymo programų rengimo ir įgyvendinimo gairių 2 priedas</t>
  </si>
  <si>
    <t>Integruotų teritorijų vystymo programų rengimo ir įgyvendinimo gairių 4  priedas</t>
  </si>
  <si>
    <t>Integruotų teritorijų vystymo programų rengimo ir įgyvendinimo gairių 6 priedas</t>
  </si>
  <si>
    <t>Konsultacijų su vietos bendruomene, nevyriausybinėmis organizacijomis, įmonėmis, kitomis institucijomis ir organizacijomis rezultatų suvestinė</t>
  </si>
  <si>
    <t>Pakeisti RPP strategiją</t>
  </si>
  <si>
    <t>Pakeisti ITVP</t>
  </si>
  <si>
    <t>Suderinti su VRM</t>
  </si>
  <si>
    <t>Suderinti su ministerija (asignavimų valdytoju)</t>
  </si>
  <si>
    <t>Nustatyti (panaikinti) regioninės svarbos projekto statusą</t>
  </si>
  <si>
    <t>Atnaujinti ITVP SSGG (Integruotų teritorijų vystymo programų rengimo ir įgyvendinimo gairių 1 priedas)</t>
  </si>
  <si>
    <t>Parengti rezultato rodiklio skaičiavimo aprašą (Integruotų teritorijų vystymo programų rengimo ir įgyvendinimo gairių 4 priedas)</t>
  </si>
  <si>
    <t>Atlikti uždavinio alternatyvų vertinimą (Integruotų teritorijų vystymo programų rengimo ir įgyvendinimo gairių 6 priedas)</t>
  </si>
  <si>
    <t>Atlikti viešąsias konsultacijas (konsultacijų su vietos bendruomene, nevyriausybinėmis organizacijomis, įmonėmis, kitomis institucijomis ir organizacijomis rezultatų suvestinė)</t>
  </si>
  <si>
    <t>Alytaus_regionas</t>
  </si>
  <si>
    <t>Kauno_regionas</t>
  </si>
  <si>
    <t>Klaipėdos_regionas</t>
  </si>
  <si>
    <t>Marijampolės_regionas</t>
  </si>
  <si>
    <t>Panevėžio_regionas</t>
  </si>
  <si>
    <t>Šiaulių_regionas</t>
  </si>
  <si>
    <t>Tauragės_regionas</t>
  </si>
  <si>
    <t>Telšių_regionas</t>
  </si>
  <si>
    <t>Utenos_regionas</t>
  </si>
  <si>
    <t>Vilniaus_regionas</t>
  </si>
  <si>
    <t>Alytaus regionas</t>
  </si>
  <si>
    <t>Klaipėdos regionas</t>
  </si>
  <si>
    <t>Marijampolės regionas</t>
  </si>
  <si>
    <t>Panevėžio regionas</t>
  </si>
  <si>
    <t>Šiaulių regionas</t>
  </si>
  <si>
    <t>Tauragės regionas</t>
  </si>
  <si>
    <t>Telšių regionas</t>
  </si>
  <si>
    <t>Utenos regionas</t>
  </si>
  <si>
    <t>Vilniaus regionas</t>
  </si>
  <si>
    <t>Alytaus m. sav.</t>
  </si>
  <si>
    <t>Birštono sav.</t>
  </si>
  <si>
    <t>Klaipėdos m. sav.</t>
  </si>
  <si>
    <t>Kalvarijos sav.</t>
  </si>
  <si>
    <t>Biržų r. sav.</t>
  </si>
  <si>
    <t>Akmenės r. sav.</t>
  </si>
  <si>
    <t>Jurbarko r. sav.</t>
  </si>
  <si>
    <t>Mažeikių r. sav.</t>
  </si>
  <si>
    <t>Anykščių r. sav.</t>
  </si>
  <si>
    <t>Elektrėnų sav.</t>
  </si>
  <si>
    <t>Alytaus r. sav.</t>
  </si>
  <si>
    <t>Klaipėdos r. sav.</t>
  </si>
  <si>
    <t>Kazlų Rūdos sav.</t>
  </si>
  <si>
    <t>Kupiškio r. sav.</t>
  </si>
  <si>
    <t>Joniškio r. sav.</t>
  </si>
  <si>
    <t>Pagėgių sav.</t>
  </si>
  <si>
    <t>Plungės r. sav.</t>
  </si>
  <si>
    <t>Ignalinos r. sav.</t>
  </si>
  <si>
    <t>Šalčininkų r. sav.</t>
  </si>
  <si>
    <t>Druskininkų sav.</t>
  </si>
  <si>
    <t>Kaišiadorių r. sav.</t>
  </si>
  <si>
    <t>Kretingos r. sav.</t>
  </si>
  <si>
    <t>Marijampolės sav.</t>
  </si>
  <si>
    <t>Panevėžio m. sav.</t>
  </si>
  <si>
    <t>Kelmės r. sav.</t>
  </si>
  <si>
    <t>Šilalės r. sav.</t>
  </si>
  <si>
    <t>Rietavo sav.</t>
  </si>
  <si>
    <t>Molėtų r. sav.</t>
  </si>
  <si>
    <t>Širvintų r. sav.</t>
  </si>
  <si>
    <t>Lazdijų r. sav.</t>
  </si>
  <si>
    <t>Kauno m. sav.</t>
  </si>
  <si>
    <t>Neringos sav.</t>
  </si>
  <si>
    <t>Šakių r. sav.</t>
  </si>
  <si>
    <t>Panevėžio r. sav.</t>
  </si>
  <si>
    <t>Pakruojo r. sav.</t>
  </si>
  <si>
    <t>Tauragės r. sav.</t>
  </si>
  <si>
    <t>Telšių r. sav.</t>
  </si>
  <si>
    <t>Utenos r. sav.</t>
  </si>
  <si>
    <t>Švenčionių r. sav.</t>
  </si>
  <si>
    <t>Varėnos r. sav.</t>
  </si>
  <si>
    <t>Kauno r. sav.</t>
  </si>
  <si>
    <t>Palangos m. sav.</t>
  </si>
  <si>
    <t>Vilkaviškio r. sav.</t>
  </si>
  <si>
    <t>Pasvalio r. sav.</t>
  </si>
  <si>
    <t>Radviliškio r. sav.</t>
  </si>
  <si>
    <t>Visagino sav.</t>
  </si>
  <si>
    <t>Trakų r. sav.</t>
  </si>
  <si>
    <t>Kėdainių r. sav.</t>
  </si>
  <si>
    <t>Skuodo r. sav.</t>
  </si>
  <si>
    <t>Rokiškio r. sav.</t>
  </si>
  <si>
    <t>Šiaulių m. sav.</t>
  </si>
  <si>
    <t>Zarasų r. sav.</t>
  </si>
  <si>
    <t>Ukmergės r. sav.</t>
  </si>
  <si>
    <t>Prienų r. sav.</t>
  </si>
  <si>
    <t>Šilutės r. sav.</t>
  </si>
  <si>
    <t>Šiaulių r. sav.</t>
  </si>
  <si>
    <t>Vilniaus m. sav.</t>
  </si>
  <si>
    <t>Raseinių r. sav.</t>
  </si>
  <si>
    <t>Vilniaus r. sav.</t>
  </si>
  <si>
    <t>Priemonės pavadinimas</t>
  </si>
  <si>
    <t>Rodiklio pavadinimas</t>
  </si>
  <si>
    <t>Lietaus nuotėkio plotas, iš kurio surenkamam paviršiniam (lietaus) vandeniui tvarkyti, įrengta ir (ar) rekonstruota infrastruktūra (ha)</t>
  </si>
  <si>
    <t>P.S.328</t>
  </si>
  <si>
    <t>Inventorizuota neapskaityto paviršinių nuotekų nuotakyno dalis (proc.)</t>
  </si>
  <si>
    <t>P.N.028</t>
  </si>
  <si>
    <t>Sukurti /pagerinti atskiro komunalinių atliekų surinkimo pajėgumai (tonos/metai)</t>
  </si>
  <si>
    <t>P.S.329</t>
  </si>
  <si>
    <t>Rekonstruotų vandens tiekimo ir nuotekų surinkimo tinklų ilgis (km)</t>
  </si>
  <si>
    <t>P.S.333</t>
  </si>
  <si>
    <t>Vandens tiekimo ir nuotekų tvarkymo įmonės, kuriose įgyvendinti valdymo ir veiklos tobulinimo veiksmai</t>
  </si>
  <si>
    <t>P.S.334</t>
  </si>
  <si>
    <t>Gyventojai, kuriems teikiamos vandens tiekimo paslaugos naujai pastatytais geriamojo vandens tiekimo tinklais</t>
  </si>
  <si>
    <t>P.N.050</t>
  </si>
  <si>
    <t>Gyventojai, kuriems teikiamos vandens tiekimo paslaugos iš naujai pastatytų ir (arba) rekonstruotų geriamojo vandens gerinimo įrenginių</t>
  </si>
  <si>
    <t>P.N.051</t>
  </si>
  <si>
    <t>Gyventojai, kuriems teikiamos paslaugos naujai pastatytais nuotekų surinkimo tinklais (gyventojų ekvivalentas)</t>
  </si>
  <si>
    <t>P.N.053</t>
  </si>
  <si>
    <t>Gyventojai, kuriems teikiamos nuotekų valymo paslaugos naujai pastatytais ir (arba) rekonstruotais nuotekų valymo įrenginiais (gyventojų ekvivalentas)</t>
  </si>
  <si>
    <t>P.N.054</t>
  </si>
  <si>
    <t>Numatomo apsilankymų remiamuose kultūros ir gamtos paveldo objektuose bei turistų traukos vietose skaičiaus padidėjimas (apsilankymai per metus)</t>
  </si>
  <si>
    <t>P.B.209</t>
  </si>
  <si>
    <t>Sutvarkyti, įrengti ir pritaikyti lankymui gamtos ir kultūros paveldo objektai ir teritorijos</t>
  </si>
  <si>
    <t>P.S.335</t>
  </si>
  <si>
    <t>Įgyvendintos visuomenės informavimo apie aplinką priemonės</t>
  </si>
  <si>
    <t>P.S.336</t>
  </si>
  <si>
    <t>Sutvarkyti valstybinės reikšmės parkai</t>
  </si>
  <si>
    <t>P.N.070</t>
  </si>
  <si>
    <t>Numatomų apsilankymų remiamuose kultūros ir gamtos paveldo objektuose bei turistų traukos vietose skaičiaus padidėjimas (apsilankymai per metus)</t>
  </si>
  <si>
    <t>Atnaujinti aplinkosauginiai-rekreaciniai objektai</t>
  </si>
  <si>
    <t>P.N.074</t>
  </si>
  <si>
    <t>Išsaugoti, sutvarkyti ar atkurti įvairaus teritorinio lygmens kraštovaizdžio arealai</t>
  </si>
  <si>
    <t>P.S.338</t>
  </si>
  <si>
    <t>Kraštovaizdžio ir (ar) gamtinio karkaso formavimo aspektais pakeisti ar pakoreguoti savivaldybių ar jų dalių bendrieji planai</t>
  </si>
  <si>
    <t>P.N.092</t>
  </si>
  <si>
    <t>Likviduoti kraštovaizdį darkantys bešeimininkiai apleisti statiniai ir įrenginiai</t>
  </si>
  <si>
    <t>P.N.093</t>
  </si>
  <si>
    <t>Rekultivuotos atvirais kasiniais pažeistos žemės</t>
  </si>
  <si>
    <t>P.N.094</t>
  </si>
  <si>
    <t>Įsigyti gatvių valymo įrenginiai</t>
  </si>
  <si>
    <t>P.S.339</t>
  </si>
  <si>
    <t>Parengti aplinkos oro kokybės valdymo priemonių planai</t>
  </si>
  <si>
    <t>P.N.097</t>
  </si>
  <si>
    <t>Įvykdytos visuomenės informavimo apie aplinkos oro kokybės gerinimą kampanijos</t>
  </si>
  <si>
    <t>P.N.098</t>
  </si>
  <si>
    <t>Modernizuoti kultūros infrastruktūros objektai</t>
  </si>
  <si>
    <t>P.N.304</t>
  </si>
  <si>
    <t>Investicijas gavę socialinių paslaugų infrastruktūros objektai</t>
  </si>
  <si>
    <t>P.S.361</t>
  </si>
  <si>
    <t>Naujai įrengti ar įsigyti socialiniai būstai</t>
  </si>
  <si>
    <t>P.S.362</t>
  </si>
  <si>
    <t>Socialines paslaugas gavę tikslinių grupių asmenys (šeimos)</t>
  </si>
  <si>
    <t>P.S.368</t>
  </si>
  <si>
    <t>Bendras naujai nutiestų kelių TEN-T tinkle ilgis (km)</t>
  </si>
  <si>
    <t>P.B.213</t>
  </si>
  <si>
    <t>Bendras rekonstruotų arba atnaujintų kelių ilgis (km)</t>
  </si>
  <si>
    <t>P.B.214</t>
  </si>
  <si>
    <t>Bendras rekonstruotų arba atnaujintų kelių TEN-T tinkle ilgis (km)</t>
  </si>
  <si>
    <t>P.B.215</t>
  </si>
  <si>
    <t>Įdiegtos saugų eismą gerinančios ir aplinkosaugos priemonės</t>
  </si>
  <si>
    <t>P.S.342</t>
  </si>
  <si>
    <t>Bendras naujai nutiestų kelių ilgis (km)</t>
  </si>
  <si>
    <t>P.N.508</t>
  </si>
  <si>
    <t>Įdiegtos saugų eismą gerinančios ir aplinkosaugos priemonės, iš kurių: geležinkelio pervažose</t>
  </si>
  <si>
    <t>P.S.343</t>
  </si>
  <si>
    <t>Parengti darnaus judumo mieste planai</t>
  </si>
  <si>
    <t>P.N.507</t>
  </si>
  <si>
    <t>Įgyvendintos darnaus judumo priemonės</t>
  </si>
  <si>
    <t>P.S.323</t>
  </si>
  <si>
    <t>Įdiegtos intelektinės transporto sistemos</t>
  </si>
  <si>
    <t>P.S.324</t>
  </si>
  <si>
    <t>Įrengtų naujų dviračių ir / ar pėsčiųjų takų ir / ar trasų ilgis (km)</t>
  </si>
  <si>
    <t>P.S.321</t>
  </si>
  <si>
    <t>Rekonstruotų dviračių ir / ar pėsčiųjų takų ir / ar trasų ilgis (km)</t>
  </si>
  <si>
    <t>P.S.322</t>
  </si>
  <si>
    <t>Įsigytos naujos ekologiškos viešojo transporto priemonės</t>
  </si>
  <si>
    <t>P.S.325</t>
  </si>
  <si>
    <t xml:space="preserve">Įsigytos naujos ekologiškos viešojo transporto priemonės </t>
  </si>
  <si>
    <t xml:space="preserve">Gyventojai, turintys galimybę pasinaudoti pagerintomis sveikatos priežiūros paslaugomis </t>
  </si>
  <si>
    <t>P.B.236</t>
  </si>
  <si>
    <t>Viešąsias sveikatos priežiūros paslaugas teikiančių asmens sveikatos priežiūros įstaigų, kuriose modernizuota paslaugų teikimo infrastruktūra, skaičius</t>
  </si>
  <si>
    <t>P.S.363</t>
  </si>
  <si>
    <t>Tikslinių grupių asmenys, kurie dalyvavo informavimo, švietimo ir mokymo renginiuose bei sveikatos raštingumą didinančiose veiklose</t>
  </si>
  <si>
    <t>P.S.372</t>
  </si>
  <si>
    <t>Modernizuoti savivaldybių visuomenės sveikatos biurai</t>
  </si>
  <si>
    <t>P.N.671</t>
  </si>
  <si>
    <t>Tuberkulioze sergantys pacientai, kuriems buvo suteiktos socialinės paramos priemonės (maisto talonų dalinimas ir kelionės išlaidų kompensavimas) tuberkuliozės ambulatorinio gydymo metu</t>
  </si>
  <si>
    <t>P.N.604</t>
  </si>
  <si>
    <t>Investicijas gavusios vaikų priežiūros arba švietimo infrastruktūros pajėgumas</t>
  </si>
  <si>
    <t>P.B.235</t>
  </si>
  <si>
    <t>Švietimo ir kitų švietimo teikėjų įstaigos, kuriose pagal veiksmų programą ERPF lėšomis sukurta ar atnaujinta ne mažiau nei viena edukacinė erdvė</t>
  </si>
  <si>
    <t>P.S.379</t>
  </si>
  <si>
    <t>Pagal veiksmų programą ERPF lėšomis sukurtos naujos ikimokyklinio ir priešmokyklinio ugdymo vietos</t>
  </si>
  <si>
    <t>P.S.380</t>
  </si>
  <si>
    <t>Pagal veiksmų programą ERPF lėšomis atnaujintos ikimokyklinio ir priešmokyklinio ugdymo mokyklos</t>
  </si>
  <si>
    <t>P.N.717</t>
  </si>
  <si>
    <t>Bent už 289 tūkst. eurų pagal veiksmų programą ERPF lėšomis atnaujintos profesinio mokymo įstaigos</t>
  </si>
  <si>
    <t>P.S.378</t>
  </si>
  <si>
    <t>Profesinio mokymo įstaigos, kuriose pagal veiksmų programą ERPF lėšomis atnaujinta infrastruktūra</t>
  </si>
  <si>
    <t>P.N.721</t>
  </si>
  <si>
    <t>Pagal veiksmų programą ERPF lėšomis atnaujintos bendrojo ugdymo mokyklos</t>
  </si>
  <si>
    <t>P.N.722</t>
  </si>
  <si>
    <t>Pagal veiksmų programą ERPF lėšomis atnaujintos neformaliojo ugdymo įstaigos</t>
  </si>
  <si>
    <t>P.N.723</t>
  </si>
  <si>
    <t>Privačios investicijos, atitinkančios viešąją paramą inovacijoms arba MTEP projektams (Eur)</t>
  </si>
  <si>
    <t>P.B.227</t>
  </si>
  <si>
    <t>Investicijas gavusių viešųjų teritorijų plotas (ha)</t>
  </si>
  <si>
    <t>P.S.303</t>
  </si>
  <si>
    <t>Pramonės parkai ir (ar) LEZ, į kurių infrastruktūrą investuota</t>
  </si>
  <si>
    <t>P.N.818</t>
  </si>
  <si>
    <t>Įgyvendintos pramonės parkų ir (ar) LEZ rinkodaros priemonės, kurios skirtos investuotojams, vykdantiems MTEPI veiklas, pritraukti</t>
  </si>
  <si>
    <t>P.N.824</t>
  </si>
  <si>
    <t xml:space="preserve">Įrengti ženklinimo infrastruktūros objektai </t>
  </si>
  <si>
    <t>P.N.817</t>
  </si>
  <si>
    <t>Pereinamojo laikotarpio tikslinių teritorijų vystymas. I</t>
  </si>
  <si>
    <r>
      <rPr>
        <sz val="11"/>
        <color indexed="8"/>
        <rFont val="Calibri"/>
        <family val="2"/>
      </rPr>
      <t>Sukurtos arba atnaujintos atviros erdvės miestų vietovėse (m</t>
    </r>
    <r>
      <rPr>
        <vertAlign val="superscript"/>
        <sz val="11"/>
        <color indexed="8"/>
        <rFont val="Calibri"/>
        <family val="2"/>
      </rPr>
      <t>2</t>
    </r>
    <r>
      <rPr>
        <sz val="11"/>
        <color indexed="8"/>
        <rFont val="Calibri"/>
        <family val="2"/>
      </rPr>
      <t>)</t>
    </r>
  </si>
  <si>
    <t>P.B.238</t>
  </si>
  <si>
    <r>
      <rPr>
        <sz val="11"/>
        <color indexed="8"/>
        <rFont val="Calibri"/>
        <family val="2"/>
      </rPr>
      <t>Pastatyti arba atnaujinti viešieji arba komerciniai pastatai miestų vietovėse (m</t>
    </r>
    <r>
      <rPr>
        <vertAlign val="superscript"/>
        <sz val="11"/>
        <color indexed="8"/>
        <rFont val="Calibri"/>
        <family val="2"/>
      </rPr>
      <t>2</t>
    </r>
    <r>
      <rPr>
        <sz val="11"/>
        <color indexed="8"/>
        <rFont val="Calibri"/>
        <family val="2"/>
      </rPr>
      <t>)</t>
    </r>
  </si>
  <si>
    <t>P.B.239</t>
  </si>
  <si>
    <t>Pereinamojo laikotarpio tikslinių teritorijų vystymas. II</t>
  </si>
  <si>
    <t>Didžiųjų miestų kompleksinė plėtra</t>
  </si>
  <si>
    <t>Miestų kompleksinė plėtra</t>
  </si>
  <si>
    <t>Kompleksinė paslaugų plėtra integruotų teritorijų vystymo programų tikslinėse teritorijose</t>
  </si>
  <si>
    <t>Kaimo gyvenamųjų vietovių atnaujinimas</t>
  </si>
  <si>
    <r>
      <rPr>
        <sz val="11"/>
        <color indexed="8"/>
        <rFont val="Calibri"/>
        <family val="2"/>
      </rPr>
      <t>Naujos atviros erdvės vietovėse nuo 1 iki 6 tūkst. gyv. (išskyrus savivaldybių centrus) (m</t>
    </r>
    <r>
      <rPr>
        <vertAlign val="superscript"/>
        <sz val="11"/>
        <color indexed="8"/>
        <rFont val="Calibri"/>
        <family val="2"/>
      </rPr>
      <t>2</t>
    </r>
    <r>
      <rPr>
        <sz val="11"/>
        <color indexed="8"/>
        <rFont val="Calibri"/>
        <family val="2"/>
      </rPr>
      <t>)</t>
    </r>
  </si>
  <si>
    <t>P.S.364</t>
  </si>
  <si>
    <r>
      <rPr>
        <sz val="11"/>
        <color indexed="8"/>
        <rFont val="Calibri"/>
        <family val="2"/>
      </rPr>
      <t>Atnaujinti ir pritaikyti naujai paskirčiai pastatai ir statiniai kaimo vietovėse (m</t>
    </r>
    <r>
      <rPr>
        <vertAlign val="superscript"/>
        <sz val="11"/>
        <color indexed="8"/>
        <rFont val="Calibri"/>
        <family val="2"/>
      </rPr>
      <t>2</t>
    </r>
    <r>
      <rPr>
        <sz val="11"/>
        <color indexed="8"/>
        <rFont val="Calibri"/>
        <family val="2"/>
      </rPr>
      <t>)</t>
    </r>
  </si>
  <si>
    <t>P.S.365</t>
  </si>
  <si>
    <t>Paslaugų ir asmenų aptarnavimo kokybės gerinimas savivaldybėse</t>
  </si>
  <si>
    <t>Viešojo valdymo institucijos, pagal veiksmų programą ESF lėšomis įgyvendinusios paslaugų ir (ar) aptarnavimo kokybei gerinti skirtas priemones</t>
  </si>
  <si>
    <t>P.S.415</t>
  </si>
  <si>
    <t>Viešojo valdymo institucijų darbuotojai, kurie dalyvavo pagal veiksmų programą  ESF lėšomis vykdytose veiklose, skirtose stiprinti teikiamų paslaugų ir (ar) aptarnavimo kokybės gerinimui reikalingas kompetencijas</t>
  </si>
  <si>
    <t>P.S.416</t>
  </si>
  <si>
    <t>Parengtos piliečių chartijos</t>
  </si>
  <si>
    <t>P.N.910</t>
  </si>
  <si>
    <t>Pagrindinės paslaugos ir kaimų atnaujinimas kaimo vietovėse (7.2 Parama investicijoms į visų rūšių mažos apimties infrastruktūrą)</t>
  </si>
  <si>
    <t>Veiksmų, kuriais remiamos investicijos skaičius (planuojamų sutvarkyti objektų skaičius)</t>
  </si>
  <si>
    <t>O.3</t>
  </si>
  <si>
    <t>Gyventojų, kurie naudojasi geresnėmis paslaugomis / infrastruktūra, skaičius (gyventojų skaičius kaimo vietovėje, kurioje planuojama sutvarkyti objektą (-us))</t>
  </si>
  <si>
    <t>O.15</t>
  </si>
  <si>
    <t>Regioninio planavimo būdu įgyvendintų mažos apimties infrastruktūros projektų skaičius</t>
  </si>
  <si>
    <t>SO12.1</t>
  </si>
  <si>
    <t>Pagrindinės paslaugos ir kaimų atnaujinimas kaimo vietovėse (7.6 Parama investicijoms į kaimo kultūros ir gamtos paveldą, kraštovaizdį)</t>
  </si>
  <si>
    <t>SO12.2</t>
  </si>
  <si>
    <t>Įvedus unikalų projekto numerį, veiklos nurodomos automatiškai (pašalinkite perteklinę informaciją E stulpelyje)</t>
  </si>
  <si>
    <t>savivaldybes</t>
  </si>
  <si>
    <t>OFFSET(sąrašai!$I$144;0;0;COUNT(sąrašai!$H$144:$H$149);1)</t>
  </si>
  <si>
    <t>kelios savivaldybės (įrašykite E stulpelyje ir pasirinkite)</t>
  </si>
  <si>
    <t>4.4</t>
  </si>
  <si>
    <t>Žyma apie derinimo proceso užbaigimą (generuojama automatiškai):</t>
  </si>
  <si>
    <t>Derinimo proceso žingsniai↓</t>
  </si>
  <si>
    <t>Derinimo procesas:</t>
  </si>
  <si>
    <t>Priemonės 08.2.1-CPVA-R-908 regionui nustatyti produkto rodikliai pasiekiami ir pakeitus projektą</t>
  </si>
  <si>
    <t>Galima pradėti Plano keitimo procedūrą</t>
  </si>
  <si>
    <t>Įtraukimas į sąrašą</t>
  </si>
  <si>
    <t>Paraiškos pateikimas įgyvendinančiajai institucijai</t>
  </si>
  <si>
    <t>Finansavimo sutarties sudarymas</t>
  </si>
  <si>
    <t>ar terminu pokytis &gt;1 m.</t>
  </si>
  <si>
    <t>2016 m. II ketv.</t>
  </si>
  <si>
    <t>2017 m. II ketv.</t>
  </si>
  <si>
    <t>2017 m. I ketv.</t>
  </si>
  <si>
    <t>produktas</t>
  </si>
  <si>
    <t>Z</t>
  </si>
  <si>
    <t>Keitimo pobūdis</t>
  </si>
  <si>
    <t>Planuojami mažesni įsipareigojimai suderinti su ŽŪM (pridėta rašto kopija arba nuoroda į teisės aktą)</t>
  </si>
  <si>
    <t>Pakanka nesuplanuoto regiono lėšų limito priemonei M07-7.6-R</t>
  </si>
  <si>
    <t>Unikalus numeris</t>
  </si>
  <si>
    <t xml:space="preserve">Regionų plėtros planų rengimo </t>
  </si>
  <si>
    <t>metodikos</t>
  </si>
  <si>
    <t>7 priedas</t>
  </si>
  <si>
    <t>007</t>
  </si>
  <si>
    <t>008</t>
  </si>
  <si>
    <t>014</t>
  </si>
  <si>
    <t>016</t>
  </si>
  <si>
    <t>017</t>
  </si>
  <si>
    <t>019</t>
  </si>
  <si>
    <t>021</t>
  </si>
  <si>
    <t>301</t>
  </si>
  <si>
    <t>302</t>
  </si>
  <si>
    <t>304</t>
  </si>
  <si>
    <t>305</t>
  </si>
  <si>
    <t>306</t>
  </si>
  <si>
    <t>407</t>
  </si>
  <si>
    <t>408</t>
  </si>
  <si>
    <t>416</t>
  </si>
  <si>
    <t>501</t>
  </si>
  <si>
    <t>502</t>
  </si>
  <si>
    <t>508</t>
  </si>
  <si>
    <t>507</t>
  </si>
  <si>
    <t>511</t>
  </si>
  <si>
    <t>512</t>
  </si>
  <si>
    <t>513</t>
  </si>
  <si>
    <t>514</t>
  </si>
  <si>
    <t>516</t>
  </si>
  <si>
    <t>517</t>
  </si>
  <si>
    <t>518</t>
  </si>
  <si>
    <t>609</t>
  </si>
  <si>
    <t>630</t>
  </si>
  <si>
    <t>615</t>
  </si>
  <si>
    <t>705</t>
  </si>
  <si>
    <t>721</t>
  </si>
  <si>
    <t>724</t>
  </si>
  <si>
    <t>725</t>
  </si>
  <si>
    <t>830</t>
  </si>
  <si>
    <t>821</t>
  </si>
  <si>
    <t>902</t>
  </si>
  <si>
    <t>903</t>
  </si>
  <si>
    <t>904</t>
  </si>
  <si>
    <t>905</t>
  </si>
  <si>
    <t>906</t>
  </si>
  <si>
    <t>908</t>
  </si>
  <si>
    <t>920</t>
  </si>
  <si>
    <t>Pereinamojo laikotarpio teritorijų vystymas. I</t>
  </si>
  <si>
    <t>Kompleksinė paslaugų plėtra integruotų teritorijų vystymo programų tikslinėse teritorijose.</t>
  </si>
  <si>
    <t>Pagrindinės paslaugos ir kaimų atnaujinimas kaimo vietovėse: 7.2 Parama investicijomis į visų rūšių mažos apimties infrastruktūrą</t>
  </si>
  <si>
    <t>Pagrindinės paslaugos ir kaimų atnaujinimas kaimo vietovėse: 7.6 Parama investicijomis į kaimo kultūros ir gamtos paveldą, kraštovaizdį</t>
  </si>
  <si>
    <t>Regionas</t>
  </si>
  <si>
    <t>1.4.</t>
  </si>
  <si>
    <t>1.5.</t>
  </si>
  <si>
    <t>1.6.</t>
  </si>
  <si>
    <t>Trumpinys</t>
  </si>
  <si>
    <t>Veiklos pavadinimas</t>
  </si>
  <si>
    <t xml:space="preserve">                                                                                                                                                 Regionų plėtros planų rengimo </t>
  </si>
  <si>
    <t xml:space="preserve">                                                                                                                                                 metodikos</t>
  </si>
  <si>
    <t xml:space="preserve">                                                                                                                                                 7 priedas</t>
  </si>
  <si>
    <t>2. Ministerijų kodų sąrašas</t>
  </si>
  <si>
    <t>3. Regionų kodų sąrašas</t>
  </si>
  <si>
    <t>4. Veiklų kodų sąrašas</t>
  </si>
  <si>
    <t>5. Priemonių kodų sąrašas</t>
  </si>
  <si>
    <t>6. Formuojama plano forma Nr. 1</t>
  </si>
  <si>
    <t>7. Formuojama plano forma Nr. 2</t>
  </si>
  <si>
    <t>B**</t>
  </si>
  <si>
    <t>1.1.</t>
  </si>
  <si>
    <t>1.3.</t>
  </si>
  <si>
    <t>Keičiamo projekto unikalus numeris*</t>
  </si>
  <si>
    <t>** B kodas žymimas tais atvejais, kai projektui įgyvendinti nenaudojamos valstybės biudžeto lėšos.</t>
  </si>
  <si>
    <t xml:space="preserve">*Keičiamo projekto unikalus numeris sudaromas iš kodų, nurodytų šio priedo 2–4 punktuose, pvz., R02-9904-310000-1222 – regiono kodas (R02), ministerijos kodas – (9), priemonės kodo paskutiniai trys skaičiai – (904) (pagal ministerijų patvirtintų priemonių įgyvendinimo planus, išskyrus Žemės ūkio ministeriją, kurios atveju naudojami priemonės kodo pirmi trys simboliai (M raidė ir priemonės numeris Kaimo plėtros programoje). Kai nenumatoma naudoti Europos Sąjungos lėšų, visais atvejais vietoj priemonės kodo įrašoma – (000), pirmos veiklos kodas – (31), antros veiklos kodas – (00), trečios veiklos kodas – (00) ir bet koks keturženklis skaičius, kuris negali kartotis.                                                                                                                   </t>
  </si>
  <si>
    <t>Kita tarptautinė finansinė parama</t>
  </si>
  <si>
    <t xml:space="preserve">1. Pasiūlymas dėl regiono plėtros plano sudarymo / keitimo </t>
  </si>
  <si>
    <t>Dėmesio: Plano keitimo būdas "Pakeisti esamą projektą" gali būti pasirinktas tik tuo atveju, jeigu nėra keičiama projektui priskirta ministerija (ar kitas asignavimų valdytojas), finansavimo šaltinis ir projektui priskirtos veiklų grupės (unikalus projekto numeris); projekto pavadinimas taikant šį plano keitimo būdą gali būti pakeistas tik tuo atveju, jeigu kartu nėra keičiamas daugiau kaip vienas projekto požymis – kitu atveju rinkitės Plano sudarymo / keitimo būdus „Išbraukti esamą projektą“ arba „Įtraukti naują projektą"</t>
  </si>
  <si>
    <t>Pasirinkite Plano sudarymo / keitimo būdą ↓</t>
  </si>
  <si>
    <t xml:space="preserve">Pasiūlymą inicijavusi institucija: </t>
  </si>
  <si>
    <t xml:space="preserve">Pasiūlymo pateikimo data: </t>
  </si>
  <si>
    <t>6 priedas</t>
  </si>
  <si>
    <t>Švietimo, mokslo ir sporto ministerija</t>
  </si>
  <si>
    <t>Ekonomikos ir inovacijų ministerija</t>
  </si>
  <si>
    <t>Vilniaus lokomotyvų remonto depo gamybinės veiklos modernizavimas</t>
  </si>
  <si>
    <t>Projekto tikslas – įtraukti UAB „Vilniaus lokomotyvų remonto depas“ planuojamą įgyvendinti projektą į regioninės svarbos projektų sąrašą ir įgyti teisę naudotis sklypu adresu Terminalo g. 8, Vilnius. Projekto metu numatoma modernios lokomotyvų remonto ir gamybos bazės statyba bei modernios įrangos būtinos technologinio proceso optimizavimui ir naujų paslaugų teikimui įsigijimas. Įgyvendinus projektą augs 400 specialistų kuriama pridėtinė vertė, t. y. modernios bazės dėka bus teikiamos vertingesnės paslaugos, augs specialistų kvalifikacija ir darbo užmokestis. Be to, bus sukurtos naujos kvalifikuotos, gerai apmokamos darbo vietos (ne mažiau 20).</t>
  </si>
  <si>
    <t>UAB Vilniaus lokomotyvų remonto depas, įmonės kodas 126280418</t>
  </si>
  <si>
    <t>1.1.2.</t>
  </si>
  <si>
    <t>Paskatinti regiono ekonominės veiklos įvairovės augimą ir tarptautinio konkurencingumo didėjimą, skatinant kūryba ir aukštųjų technologijų naudojimu pagrįstų verslų plėtrą</t>
  </si>
  <si>
    <t>1.1.2.2.</t>
  </si>
  <si>
    <t>Inovatyvių paslaugų plėtojimas</t>
  </si>
  <si>
    <t>Pagrindinis projekto tikslas – kurti naujas darbo vietas ir didinti esamų darbuotojų kuriamą pridėtinę vertę Vilniaus regione, modernizuojant įmonės gamybos infrastruktūrą. Projekto veiklos: naujos gamybinės bazės statyba bei modernios įrangos skirtos gamybai ir remontui įsigijimas. Siekiant įgyvendinti projektą planuojama jį įtraukti į regioninės svarbos projektų sąrašą ir įgyti teisę naudotis sklypo adresu Terminalo g. 8, Vilnius dalimi bei šalia esančia laisva valstybės žeme. Projekto įgyvendinimo laikotarpis 2020-05 – 2025-02.</t>
  </si>
  <si>
    <t>"Vilniaus lokomotyvų remonto depo gamybinės veiklos modernizavimas" atitinka Vilniaus RPP 1 prioriteto, 1.1 tikslo, 1.1.2 Uždavinio, 1.1.2.2. priemonę</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</si>
</sst>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_-* #,##0.00\ _€_-;\-* #,##0.00\ _€_-;_-* &quot;-&quot;??\ _€_-;_-@_-"/>
    <numFmt numFmtId="165" formatCode="#,000_);[Red]\(#,000\)"/>
    <numFmt numFmtId="166" formatCode="m/d/yyyy;@"/>
    <numFmt numFmtId="167" formatCode="\+0;\-0"/>
    <numFmt numFmtId="168" formatCode="yyyy\-mm\-dd;@"/>
    <numFmt numFmtId="169" formatCode="0.000000E+00"/>
    <numFmt numFmtId="170" formatCode="_-* #,##0.0\ _€_-;\-* #,##0.0\ _€_-;_-* &quot;-&quot;??\ _€_-;_-@_-"/>
    <numFmt numFmtId="171" formatCode="_-* #,##0\ _€_-;\-* #,##0\ _€_-;_-* &quot;-&quot;??\ _€_-;_-@_-"/>
    <numFmt numFmtId="172" formatCode="#,##0.0_ ;\-#,##0.0\ "/>
    <numFmt numFmtId="173" formatCode="_-* #,##0.0\ _€_-;\-* #,##0.0\ _€_-;_-* &quot;-&quot;?\ _€_-;_-@_-"/>
  </numFmts>
  <fonts count="55" x14ac:knownFonts="1">
    <font>
      <sz val="11"/>
      <color theme="1"/>
      <name val="Calibri"/>
      <family val="2"/>
      <scheme val="minor"/>
    </font>
    <font>
      <b/>
      <sz val="10"/>
      <name val="Times New Roman"/>
      <family val="1"/>
    </font>
    <font>
      <sz val="11"/>
      <name val="Times New Roman"/>
      <family val="1"/>
    </font>
    <font>
      <sz val="10"/>
      <name val="Times New Roman"/>
      <family val="1"/>
    </font>
    <font>
      <sz val="11"/>
      <color indexed="8"/>
      <name val="Calibri"/>
      <family val="2"/>
    </font>
    <font>
      <vertAlign val="superscript"/>
      <sz val="11"/>
      <color indexed="8"/>
      <name val="Calibri"/>
      <family val="2"/>
    </font>
    <font>
      <sz val="11"/>
      <color indexed="8"/>
      <name val="Arial"/>
      <family val="2"/>
    </font>
    <font>
      <b/>
      <sz val="11"/>
      <color indexed="8"/>
      <name val="Arial"/>
      <family val="2"/>
    </font>
    <font>
      <sz val="11"/>
      <color theme="1"/>
      <name val="Calibri"/>
      <family val="2"/>
      <scheme val="minor"/>
    </font>
    <font>
      <sz val="11"/>
      <color indexed="8"/>
      <name val="Calibri"/>
      <family val="2"/>
      <scheme val="minor"/>
    </font>
    <font>
      <sz val="11"/>
      <color rgb="FFFF0000"/>
      <name val="Calibri"/>
      <family val="2"/>
      <scheme val="minor"/>
    </font>
    <font>
      <b/>
      <sz val="11"/>
      <color theme="1"/>
      <name val="Calibri"/>
      <family val="2"/>
      <scheme val="minor"/>
    </font>
    <font>
      <sz val="11"/>
      <color rgb="FF9C6500"/>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sz val="9"/>
      <color theme="1"/>
      <name val="Calibri"/>
      <family val="2"/>
      <scheme val="minor"/>
    </font>
    <font>
      <sz val="8"/>
      <color theme="1"/>
      <name val="Calibri"/>
      <family val="2"/>
      <scheme val="minor"/>
    </font>
    <font>
      <b/>
      <sz val="9"/>
      <color theme="1"/>
      <name val="Calibri"/>
      <family val="2"/>
      <scheme val="minor"/>
    </font>
    <font>
      <sz val="11"/>
      <color rgb="FFFFC000"/>
      <name val="Calibri"/>
      <family val="2"/>
      <scheme val="minor"/>
    </font>
    <font>
      <b/>
      <sz val="11"/>
      <color theme="1"/>
      <name val="Times New Roman"/>
      <family val="1"/>
    </font>
    <font>
      <sz val="11"/>
      <name val="Calibri"/>
      <family val="2"/>
      <scheme val="minor"/>
    </font>
    <font>
      <sz val="11"/>
      <color theme="1"/>
      <name val="Times New Roman"/>
      <family val="1"/>
    </font>
    <font>
      <b/>
      <sz val="12"/>
      <color theme="1"/>
      <name val="Times New Roman"/>
      <family val="1"/>
    </font>
    <font>
      <b/>
      <sz val="10"/>
      <color theme="1"/>
      <name val="Times New Roman"/>
      <family val="1"/>
    </font>
    <font>
      <b/>
      <sz val="10"/>
      <color theme="9" tint="-0.249977111117893"/>
      <name val="Times New Roman"/>
      <family val="1"/>
    </font>
    <font>
      <b/>
      <sz val="11"/>
      <name val="Calibri"/>
      <family val="2"/>
      <scheme val="minor"/>
    </font>
    <font>
      <i/>
      <sz val="11"/>
      <color theme="1"/>
      <name val="Times New Roman"/>
      <family val="1"/>
    </font>
    <font>
      <sz val="10"/>
      <color theme="1"/>
      <name val="Times New Roman"/>
      <family val="1"/>
    </font>
    <font>
      <sz val="11"/>
      <color theme="9" tint="0.59999389629810485"/>
      <name val="Calibri"/>
      <family val="2"/>
      <scheme val="minor"/>
    </font>
    <font>
      <sz val="9"/>
      <color theme="1"/>
      <name val="Times New Roman"/>
      <family val="1"/>
    </font>
    <font>
      <b/>
      <u/>
      <sz val="11"/>
      <color theme="1"/>
      <name val="Times New Roman"/>
      <family val="1"/>
    </font>
    <font>
      <i/>
      <sz val="10"/>
      <color theme="1"/>
      <name val="Times New Roman"/>
      <family val="1"/>
    </font>
    <font>
      <b/>
      <sz val="14"/>
      <color theme="1"/>
      <name val="Arial"/>
      <family val="2"/>
    </font>
    <font>
      <b/>
      <i/>
      <sz val="10"/>
      <color theme="1"/>
      <name val="Times New Roman"/>
      <family val="1"/>
    </font>
    <font>
      <sz val="11"/>
      <color theme="1"/>
      <name val="Arial"/>
      <family val="2"/>
    </font>
    <font>
      <b/>
      <sz val="11"/>
      <name val="Times New Roman"/>
      <family val="1"/>
    </font>
    <font>
      <sz val="11"/>
      <name val="Times New Roman"/>
      <family val="1"/>
      <charset val="186"/>
    </font>
    <font>
      <sz val="10"/>
      <name val="Times New Roman"/>
      <family val="1"/>
      <charset val="186"/>
    </font>
    <font>
      <b/>
      <sz val="10"/>
      <name val="Times New Roman"/>
      <family val="1"/>
      <charset val="186"/>
    </font>
    <font>
      <b/>
      <sz val="12"/>
      <name val="Times New Roman"/>
      <family val="1"/>
    </font>
    <font>
      <b/>
      <sz val="11"/>
      <name val="Times New Roman"/>
      <family val="1"/>
      <charset val="186"/>
    </font>
    <font>
      <b/>
      <sz val="12"/>
      <name val="Times New Roman"/>
      <family val="1"/>
      <charset val="186"/>
    </font>
    <font>
      <b/>
      <sz val="11"/>
      <color theme="1"/>
      <name val="Calibri"/>
      <family val="2"/>
      <charset val="186"/>
      <scheme val="minor"/>
    </font>
    <font>
      <sz val="12"/>
      <name val="Times New Roman"/>
      <family val="1"/>
      <charset val="186"/>
    </font>
    <font>
      <b/>
      <sz val="11"/>
      <color theme="1"/>
      <name val="Times New Roman"/>
      <family val="1"/>
      <charset val="186"/>
    </font>
    <font>
      <sz val="12"/>
      <color theme="1"/>
      <name val="Times New Roman"/>
      <family val="1"/>
      <charset val="186"/>
    </font>
    <font>
      <sz val="12"/>
      <color theme="1"/>
      <name val="Calibri"/>
      <family val="2"/>
      <scheme val="minor"/>
    </font>
    <font>
      <b/>
      <sz val="12"/>
      <color theme="1"/>
      <name val="Times New Roman"/>
      <family val="1"/>
      <charset val="186"/>
    </font>
    <font>
      <i/>
      <sz val="11"/>
      <name val="Times New Roman"/>
      <family val="1"/>
      <charset val="186"/>
    </font>
    <font>
      <b/>
      <u/>
      <sz val="11"/>
      <name val="Times New Roman"/>
      <family val="1"/>
      <charset val="186"/>
    </font>
    <font>
      <sz val="11"/>
      <color theme="1"/>
      <name val="Times New Roman"/>
      <family val="1"/>
      <charset val="186"/>
    </font>
    <font>
      <sz val="9"/>
      <color theme="1"/>
      <name val="Times New Roman"/>
      <family val="1"/>
      <charset val="186"/>
    </font>
    <font>
      <sz val="8"/>
      <color theme="1"/>
      <name val="Times New Roman"/>
      <family val="1"/>
      <charset val="186"/>
    </font>
    <font>
      <b/>
      <sz val="9"/>
      <color theme="1"/>
      <name val="Times New Roman"/>
      <family val="1"/>
      <charset val="186"/>
    </font>
  </fonts>
  <fills count="26">
    <fill>
      <patternFill patternType="none"/>
    </fill>
    <fill>
      <patternFill patternType="gray125"/>
    </fill>
    <fill>
      <patternFill patternType="solid">
        <fgColor theme="7" tint="0.39994506668294322"/>
        <bgColor indexed="64"/>
      </patternFill>
    </fill>
    <fill>
      <patternFill patternType="solid">
        <fgColor theme="5" tint="0.59999389629810485"/>
        <bgColor indexed="64"/>
      </patternFill>
    </fill>
    <fill>
      <patternFill patternType="solid">
        <fgColor rgb="FFFFEB9C"/>
        <bgColor indexed="64"/>
      </patternFill>
    </fill>
    <fill>
      <patternFill patternType="solid">
        <fgColor theme="4"/>
        <bgColor indexed="64"/>
      </patternFill>
    </fill>
    <fill>
      <patternFill patternType="solid">
        <fgColor theme="5" tint="0.79995117038483843"/>
        <bgColor indexed="64"/>
      </patternFill>
    </fill>
    <fill>
      <patternFill patternType="solid">
        <fgColor theme="5" tint="0.39994506668294322"/>
        <bgColor indexed="64"/>
      </patternFill>
    </fill>
    <fill>
      <patternFill patternType="solid">
        <fgColor theme="7"/>
        <bgColor indexed="64"/>
      </patternFill>
    </fill>
    <fill>
      <patternFill patternType="solid">
        <fgColor theme="8" tint="0.59999389629810485"/>
        <bgColor indexed="64"/>
      </patternFill>
    </fill>
    <fill>
      <patternFill patternType="solid">
        <fgColor theme="8" tint="0.39994506668294322"/>
        <bgColor indexed="64"/>
      </patternFill>
    </fill>
    <fill>
      <patternFill patternType="solid">
        <fgColor theme="9" tint="0.39994506668294322"/>
        <bgColor indexed="64"/>
      </patternFill>
    </fill>
    <fill>
      <patternFill patternType="solid">
        <fgColor theme="0" tint="-0.249977111117893"/>
        <bgColor indexed="64"/>
      </patternFill>
    </fill>
    <fill>
      <patternFill patternType="solid">
        <fgColor theme="2"/>
        <bgColor indexed="64"/>
      </patternFill>
    </fill>
    <fill>
      <patternFill patternType="solid">
        <fgColor theme="5" tint="0.79998168889431442"/>
        <bgColor indexed="64"/>
      </patternFill>
    </fill>
    <fill>
      <patternFill patternType="solid">
        <fgColor theme="5" tint="-0.249977111117893"/>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4" tint="-0.249977111117893"/>
        <bgColor indexed="64"/>
      </patternFill>
    </fill>
    <fill>
      <patternFill patternType="solid">
        <fgColor rgb="FFFFFF00"/>
        <bgColor indexed="64"/>
      </patternFill>
    </fill>
    <fill>
      <patternFill patternType="solid">
        <fgColor rgb="FFD9D9D9"/>
        <bgColor indexed="64"/>
      </patternFill>
    </fill>
    <fill>
      <patternFill patternType="solid">
        <fgColor rgb="FFC00000"/>
        <bgColor indexed="64"/>
      </patternFill>
    </fill>
    <fill>
      <patternFill patternType="solid">
        <fgColor rgb="FFF4B084"/>
        <bgColor indexed="64"/>
      </patternFill>
    </fill>
    <fill>
      <patternFill patternType="solid">
        <fgColor theme="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dashed">
        <color theme="4" tint="-0.499984740745262"/>
      </left>
      <right style="dashed">
        <color theme="4" tint="-0.499984740745262"/>
      </right>
      <top style="dashed">
        <color theme="4" tint="-0.499984740745262"/>
      </top>
      <bottom style="dashed">
        <color theme="4" tint="-0.499984740745262"/>
      </bottom>
      <diagonal/>
    </border>
    <border>
      <left style="dashed">
        <color theme="4" tint="-0.24994659260841701"/>
      </left>
      <right style="dashed">
        <color theme="4" tint="-0.24994659260841701"/>
      </right>
      <top style="dashed">
        <color theme="4" tint="-0.24994659260841701"/>
      </top>
      <bottom style="dashed">
        <color theme="4" tint="-0.24994659260841701"/>
      </bottom>
      <diagonal/>
    </border>
    <border>
      <left style="thin">
        <color indexed="64"/>
      </left>
      <right style="thin">
        <color indexed="64"/>
      </right>
      <top/>
      <bottom/>
      <diagonal/>
    </border>
    <border>
      <left style="dashed">
        <color theme="4" tint="-0.24994659260841701"/>
      </left>
      <right style="thin">
        <color indexed="64"/>
      </right>
      <top style="dashed">
        <color theme="4" tint="-0.24994659260841701"/>
      </top>
      <bottom style="dashed">
        <color theme="4" tint="-0.24994659260841701"/>
      </bottom>
      <diagonal/>
    </border>
    <border>
      <left style="thin">
        <color indexed="64"/>
      </left>
      <right style="dashed">
        <color theme="4" tint="-0.24994659260841701"/>
      </right>
      <top style="dashed">
        <color theme="4" tint="-0.24994659260841701"/>
      </top>
      <bottom style="dashed">
        <color theme="4" tint="-0.24994659260841701"/>
      </bottom>
      <diagonal/>
    </border>
    <border>
      <left/>
      <right style="thin">
        <color indexed="64"/>
      </right>
      <top/>
      <bottom style="thin">
        <color indexed="64"/>
      </bottom>
      <diagonal/>
    </border>
    <border>
      <left/>
      <right style="dashed">
        <color indexed="64"/>
      </right>
      <top/>
      <bottom/>
      <diagonal/>
    </border>
    <border>
      <left style="thin">
        <color indexed="64"/>
      </left>
      <right style="medium">
        <color indexed="64"/>
      </right>
      <top/>
      <bottom/>
      <diagonal/>
    </border>
    <border>
      <left style="dashed">
        <color theme="4" tint="-0.24994659260841701"/>
      </left>
      <right/>
      <top style="dashed">
        <color theme="4" tint="-0.24994659260841701"/>
      </top>
      <bottom style="dashed">
        <color theme="4" tint="-0.24994659260841701"/>
      </bottom>
      <diagonal/>
    </border>
    <border>
      <left style="dashed">
        <color indexed="64"/>
      </left>
      <right style="dashed">
        <color indexed="64"/>
      </right>
      <top style="dashed">
        <color indexed="64"/>
      </top>
      <bottom style="dashed">
        <color indexed="64"/>
      </bottom>
      <diagonal/>
    </border>
    <border>
      <left style="thin">
        <color theme="4" tint="-0.249977111117893"/>
      </left>
      <right style="thin">
        <color theme="4" tint="-0.249977111117893"/>
      </right>
      <top style="thin">
        <color theme="4" tint="-0.249977111117893"/>
      </top>
      <bottom style="thin">
        <color theme="4" tint="-0.249977111117893"/>
      </bottom>
      <diagonal/>
    </border>
    <border>
      <left/>
      <right style="medium">
        <color indexed="64"/>
      </right>
      <top style="dashed">
        <color theme="4" tint="-0.24994659260841701"/>
      </top>
      <bottom style="dashed">
        <color theme="4" tint="-0.24994659260841701"/>
      </bottom>
      <diagonal/>
    </border>
    <border>
      <left style="dashed">
        <color theme="4" tint="-0.24994659260841701"/>
      </left>
      <right style="dashed">
        <color theme="4" tint="-0.24994659260841701"/>
      </right>
      <top/>
      <bottom style="dashed">
        <color theme="4" tint="-0.24994659260841701"/>
      </bottom>
      <diagonal/>
    </border>
    <border>
      <left/>
      <right style="thin">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s>
  <cellStyleXfs count="4">
    <xf numFmtId="0" fontId="0" fillId="0" borderId="0"/>
    <xf numFmtId="164" fontId="8" fillId="0" borderId="0" applyFont="0" applyFill="0" applyBorder="0" applyAlignment="0" applyProtection="0"/>
    <xf numFmtId="9" fontId="9" fillId="0" borderId="0" applyFont="0" applyFill="0" applyBorder="0" applyAlignment="0" applyProtection="0">
      <alignment vertical="center"/>
    </xf>
    <xf numFmtId="0" fontId="12" fillId="4" borderId="0" applyNumberFormat="0" applyBorder="0" applyAlignment="0" applyProtection="0"/>
  </cellStyleXfs>
  <cellXfs count="624">
    <xf numFmtId="0" fontId="0" fillId="0" borderId="0" xfId="0"/>
    <xf numFmtId="0" fontId="0" fillId="6" borderId="0" xfId="0" applyFill="1"/>
    <xf numFmtId="0" fontId="0" fillId="0" borderId="0" xfId="0" applyAlignment="1">
      <alignment vertical="center"/>
    </xf>
    <xf numFmtId="0" fontId="0" fillId="0" borderId="0" xfId="0" applyFont="1" applyFill="1" applyAlignment="1"/>
    <xf numFmtId="0" fontId="13" fillId="0" borderId="0" xfId="0" applyFont="1"/>
    <xf numFmtId="0" fontId="11" fillId="12" borderId="1" xfId="0" applyFont="1" applyFill="1" applyBorder="1" applyAlignment="1">
      <alignment horizontal="center" vertical="center"/>
    </xf>
    <xf numFmtId="0" fontId="14" fillId="12" borderId="2" xfId="0" applyFont="1" applyFill="1" applyBorder="1" applyAlignment="1">
      <alignment horizontal="center" vertical="center"/>
    </xf>
    <xf numFmtId="0" fontId="14" fillId="12" borderId="1" xfId="0" applyFont="1" applyFill="1" applyBorder="1" applyAlignment="1">
      <alignment horizontal="center" vertical="center"/>
    </xf>
    <xf numFmtId="0" fontId="11" fillId="12" borderId="1" xfId="0" applyFont="1" applyFill="1" applyBorder="1" applyAlignment="1">
      <alignment horizontal="center"/>
    </xf>
    <xf numFmtId="0" fontId="11" fillId="0" borderId="0" xfId="0" applyFont="1" applyFill="1" applyBorder="1" applyAlignment="1">
      <alignment horizontal="center" vertical="top"/>
    </xf>
    <xf numFmtId="0" fontId="14" fillId="0" borderId="0" xfId="0" applyFont="1" applyFill="1" applyBorder="1" applyAlignment="1">
      <alignment horizontal="center" vertical="top"/>
    </xf>
    <xf numFmtId="0" fontId="14" fillId="0" borderId="0" xfId="0" applyFont="1" applyFill="1" applyBorder="1" applyAlignment="1">
      <alignment vertical="top"/>
    </xf>
    <xf numFmtId="0" fontId="13" fillId="0" borderId="0" xfId="0" applyFont="1" applyFill="1" applyAlignment="1"/>
    <xf numFmtId="0" fontId="0" fillId="0" borderId="1" xfId="0" applyBorder="1"/>
    <xf numFmtId="0" fontId="11" fillId="0" borderId="0" xfId="0" applyFont="1"/>
    <xf numFmtId="0" fontId="0" fillId="0" borderId="0" xfId="0" applyFont="1"/>
    <xf numFmtId="0" fontId="0" fillId="0" borderId="1" xfId="0" applyBorder="1" applyAlignment="1">
      <alignment horizontal="center" vertical="center" wrapText="1"/>
    </xf>
    <xf numFmtId="164" fontId="0" fillId="0" borderId="1" xfId="0" applyNumberFormat="1" applyBorder="1" applyAlignment="1">
      <alignment horizontal="center" vertical="center"/>
    </xf>
    <xf numFmtId="0" fontId="16" fillId="0" borderId="0" xfId="0" applyFont="1" applyAlignment="1">
      <alignment horizontal="center"/>
    </xf>
    <xf numFmtId="0" fontId="16" fillId="0" borderId="0" xfId="0" applyFont="1" applyBorder="1" applyAlignment="1">
      <alignment horizontal="center" vertical="center" wrapText="1"/>
    </xf>
    <xf numFmtId="0" fontId="11" fillId="0" borderId="0" xfId="0" applyFont="1"/>
    <xf numFmtId="164" fontId="16" fillId="0" borderId="0" xfId="0" applyNumberFormat="1" applyFont="1" applyBorder="1" applyAlignment="1">
      <alignment horizontal="center" vertical="center" wrapText="1"/>
    </xf>
    <xf numFmtId="0" fontId="18" fillId="0" borderId="0" xfId="0" applyFont="1" applyAlignment="1">
      <alignment horizontal="center" vertical="center"/>
    </xf>
    <xf numFmtId="0" fontId="16" fillId="0" borderId="0" xfId="0" applyFont="1"/>
    <xf numFmtId="49" fontId="0" fillId="0" borderId="0" xfId="0" applyNumberFormat="1"/>
    <xf numFmtId="0" fontId="0" fillId="14" borderId="0" xfId="0" applyFill="1"/>
    <xf numFmtId="0" fontId="0" fillId="3" borderId="0" xfId="0" applyFill="1"/>
    <xf numFmtId="0" fontId="0" fillId="6" borderId="0" xfId="0" applyFont="1" applyFill="1" applyAlignment="1"/>
    <xf numFmtId="0" fontId="0" fillId="0" borderId="0" xfId="0" applyFill="1"/>
    <xf numFmtId="0" fontId="12" fillId="4" borderId="0" xfId="3"/>
    <xf numFmtId="0" fontId="0" fillId="0" borderId="0" xfId="0" applyAlignment="1"/>
    <xf numFmtId="0" fontId="0" fillId="0" borderId="0" xfId="0" applyAlignment="1">
      <alignment horizontal="left"/>
    </xf>
    <xf numFmtId="49" fontId="0" fillId="0" borderId="0" xfId="0" applyNumberFormat="1" applyAlignment="1">
      <alignment horizontal="right"/>
    </xf>
    <xf numFmtId="165" fontId="0" fillId="0" borderId="0" xfId="0" applyNumberFormat="1"/>
    <xf numFmtId="166" fontId="0" fillId="0" borderId="0" xfId="0" applyNumberFormat="1"/>
    <xf numFmtId="0" fontId="19" fillId="15" borderId="0" xfId="0" applyFont="1" applyFill="1"/>
    <xf numFmtId="14" fontId="0" fillId="0" borderId="0" xfId="0" applyNumberFormat="1"/>
    <xf numFmtId="0" fontId="20" fillId="16" borderId="5" xfId="0" applyFont="1" applyFill="1" applyBorder="1" applyAlignment="1">
      <alignment vertical="center"/>
    </xf>
    <xf numFmtId="0" fontId="21" fillId="0" borderId="0" xfId="0" applyFont="1" applyFill="1" applyBorder="1" applyAlignment="1"/>
    <xf numFmtId="0" fontId="21" fillId="0" borderId="0" xfId="0" applyFont="1" applyFill="1" applyAlignment="1"/>
    <xf numFmtId="0" fontId="0" fillId="0" borderId="0" xfId="0" applyAlignment="1">
      <alignment horizontal="center"/>
    </xf>
    <xf numFmtId="0" fontId="0" fillId="0" borderId="0" xfId="0" applyFont="1" applyFill="1" applyAlignment="1"/>
    <xf numFmtId="0" fontId="0" fillId="17" borderId="0" xfId="0" applyFill="1"/>
    <xf numFmtId="0" fontId="0" fillId="18" borderId="0" xfId="0" applyFill="1"/>
    <xf numFmtId="0" fontId="10" fillId="0" borderId="0" xfId="0" applyFont="1"/>
    <xf numFmtId="0" fontId="10" fillId="0" borderId="0" xfId="0" applyFont="1"/>
    <xf numFmtId="0" fontId="10" fillId="17" borderId="0" xfId="0" applyFont="1" applyFill="1"/>
    <xf numFmtId="0" fontId="0" fillId="19" borderId="0" xfId="0" applyFill="1"/>
    <xf numFmtId="0" fontId="0" fillId="20" borderId="0" xfId="0" applyFill="1"/>
    <xf numFmtId="0" fontId="0" fillId="0" borderId="0" xfId="0" applyFill="1" applyBorder="1"/>
    <xf numFmtId="0" fontId="22" fillId="0" borderId="0" xfId="0" applyFont="1"/>
    <xf numFmtId="0" fontId="0" fillId="0" borderId="0" xfId="0" applyFill="1" applyBorder="1" applyAlignment="1">
      <alignment wrapText="1"/>
    </xf>
    <xf numFmtId="0" fontId="21" fillId="0" borderId="0" xfId="0" applyFont="1" applyFill="1" applyBorder="1"/>
    <xf numFmtId="0" fontId="21" fillId="0" borderId="0" xfId="0" applyFont="1" applyFill="1"/>
    <xf numFmtId="0" fontId="0" fillId="0" borderId="0" xfId="0" applyFill="1" applyAlignment="1">
      <alignment wrapText="1"/>
    </xf>
    <xf numFmtId="0" fontId="0" fillId="0" borderId="0" xfId="0" applyFill="1" applyBorder="1" applyAlignment="1">
      <alignment horizontal="left" vertical="center" wrapText="1"/>
    </xf>
    <xf numFmtId="0" fontId="0" fillId="0" borderId="0" xfId="0" applyFill="1" applyAlignment="1">
      <alignment horizontal="left" vertical="center" wrapText="1"/>
    </xf>
    <xf numFmtId="0" fontId="0" fillId="0" borderId="10" xfId="0" applyBorder="1"/>
    <xf numFmtId="0" fontId="0" fillId="0" borderId="14" xfId="0" applyBorder="1"/>
    <xf numFmtId="0" fontId="0" fillId="0" borderId="15" xfId="0" applyBorder="1"/>
    <xf numFmtId="0" fontId="22" fillId="0" borderId="0" xfId="0" applyFont="1"/>
    <xf numFmtId="0" fontId="26" fillId="0" borderId="0" xfId="0" applyFont="1" applyFill="1" applyBorder="1"/>
    <xf numFmtId="0" fontId="0" fillId="0" borderId="0" xfId="0" applyFill="1" applyBorder="1"/>
    <xf numFmtId="0" fontId="0" fillId="0" borderId="0" xfId="0" applyFill="1" applyBorder="1" applyAlignment="1">
      <alignment vertical="center" wrapText="1"/>
    </xf>
    <xf numFmtId="0" fontId="0" fillId="0" borderId="0" xfId="0" applyFill="1" applyBorder="1" applyAlignment="1">
      <alignment vertical="center"/>
    </xf>
    <xf numFmtId="0" fontId="0" fillId="8" borderId="0" xfId="0" applyFill="1" applyBorder="1" applyAlignment="1">
      <alignment vertical="center" wrapText="1"/>
    </xf>
    <xf numFmtId="0" fontId="0" fillId="8" borderId="0" xfId="0" applyFill="1" applyBorder="1" applyAlignment="1">
      <alignment vertical="center"/>
    </xf>
    <xf numFmtId="0" fontId="21" fillId="8" borderId="0" xfId="0" applyFont="1" applyFill="1" applyBorder="1"/>
    <xf numFmtId="0" fontId="0" fillId="14" borderId="0" xfId="0" applyFill="1" applyBorder="1" applyAlignment="1">
      <alignment vertical="center"/>
    </xf>
    <xf numFmtId="0" fontId="10" fillId="8" borderId="0" xfId="0" applyFont="1" applyFill="1"/>
    <xf numFmtId="0" fontId="0" fillId="0" borderId="0" xfId="0" applyBorder="1"/>
    <xf numFmtId="0" fontId="22" fillId="0" borderId="0" xfId="0" applyFont="1" applyFill="1"/>
    <xf numFmtId="0" fontId="22" fillId="8" borderId="0" xfId="0" applyFont="1" applyFill="1"/>
    <xf numFmtId="0" fontId="20" fillId="8" borderId="0" xfId="0" applyFont="1" applyFill="1" applyAlignment="1">
      <alignment horizontal="center"/>
    </xf>
    <xf numFmtId="0" fontId="0" fillId="8" borderId="0" xfId="0" applyFill="1"/>
    <xf numFmtId="0" fontId="29" fillId="0" borderId="0" xfId="0" applyFont="1" applyFill="1" applyBorder="1"/>
    <xf numFmtId="0" fontId="0" fillId="0" borderId="0" xfId="0" applyFill="1" applyBorder="1" applyAlignment="1">
      <alignment horizontal="center" vertical="center"/>
    </xf>
    <xf numFmtId="0" fontId="29" fillId="0" borderId="0" xfId="0" applyFont="1" applyFill="1" applyBorder="1"/>
    <xf numFmtId="0" fontId="0" fillId="9" borderId="0" xfId="0" applyFill="1" applyBorder="1"/>
    <xf numFmtId="0" fontId="18" fillId="0" borderId="0" xfId="0" applyFont="1" applyAlignment="1">
      <alignment horizontal="center"/>
    </xf>
    <xf numFmtId="0" fontId="13" fillId="0" borderId="0" xfId="0" applyFont="1" applyAlignment="1">
      <alignment horizontal="center"/>
    </xf>
    <xf numFmtId="0" fontId="13" fillId="0" borderId="0" xfId="0" applyFont="1" applyAlignment="1">
      <alignment horizontal="center"/>
    </xf>
    <xf numFmtId="0" fontId="30" fillId="0" borderId="0" xfId="0" applyFont="1" applyAlignment="1">
      <alignment horizontal="center" vertical="center"/>
    </xf>
    <xf numFmtId="169" fontId="21" fillId="0" borderId="0" xfId="0" applyNumberFormat="1" applyFont="1" applyFill="1" applyBorder="1"/>
    <xf numFmtId="13" fontId="21" fillId="0" borderId="0" xfId="0" applyNumberFormat="1" applyFont="1" applyFill="1" applyBorder="1"/>
    <xf numFmtId="170" fontId="13" fillId="0" borderId="1" xfId="1" applyNumberFormat="1" applyFont="1" applyFill="1" applyBorder="1" applyAlignment="1">
      <alignment horizontal="center" vertical="center" wrapText="1"/>
    </xf>
    <xf numFmtId="170" fontId="14" fillId="0" borderId="1" xfId="1" applyNumberFormat="1" applyFont="1" applyFill="1" applyBorder="1" applyAlignment="1">
      <alignment horizontal="center" vertical="center" wrapText="1"/>
    </xf>
    <xf numFmtId="0" fontId="0" fillId="23" borderId="0" xfId="0" applyFill="1"/>
    <xf numFmtId="0" fontId="0" fillId="5" borderId="0" xfId="0" applyFill="1"/>
    <xf numFmtId="0" fontId="30" fillId="0" borderId="0" xfId="0" applyFont="1" applyAlignment="1">
      <alignment vertical="center"/>
    </xf>
    <xf numFmtId="0" fontId="0" fillId="0" borderId="0" xfId="0" applyAlignment="1">
      <alignment vertical="center"/>
    </xf>
    <xf numFmtId="0" fontId="28" fillId="0" borderId="0" xfId="0" applyFont="1"/>
    <xf numFmtId="0" fontId="20" fillId="12" borderId="0" xfId="0" applyFont="1" applyFill="1" applyBorder="1" applyAlignment="1">
      <alignment horizontal="center" vertical="center"/>
    </xf>
    <xf numFmtId="0" fontId="24" fillId="12" borderId="0" xfId="0" applyFont="1" applyFill="1" applyBorder="1" applyAlignment="1">
      <alignment horizontal="center" vertical="center"/>
    </xf>
    <xf numFmtId="0" fontId="24" fillId="12" borderId="0" xfId="0" applyFont="1" applyFill="1" applyBorder="1" applyAlignment="1">
      <alignment horizontal="center" vertical="center"/>
    </xf>
    <xf numFmtId="0" fontId="20" fillId="12" borderId="11" xfId="0" applyFont="1" applyFill="1" applyBorder="1" applyAlignment="1">
      <alignment horizontal="center"/>
    </xf>
    <xf numFmtId="0" fontId="23" fillId="0" borderId="0" xfId="0" applyFont="1" applyFill="1" applyBorder="1" applyAlignment="1">
      <alignment horizontal="center" vertical="top"/>
    </xf>
    <xf numFmtId="0" fontId="22" fillId="13" borderId="28" xfId="0" applyFont="1" applyFill="1" applyBorder="1" applyAlignment="1"/>
    <xf numFmtId="0" fontId="20" fillId="0" borderId="0" xfId="0" applyFont="1" applyFill="1" applyBorder="1" applyAlignment="1">
      <alignment vertical="center"/>
    </xf>
    <xf numFmtId="0" fontId="22" fillId="0" borderId="0" xfId="0" applyFont="1" applyFill="1" applyBorder="1" applyAlignment="1">
      <alignment vertical="top" wrapText="1"/>
    </xf>
    <xf numFmtId="0" fontId="22" fillId="0" borderId="0" xfId="0" applyFont="1" applyFill="1" applyAlignment="1">
      <alignment vertical="top" wrapText="1"/>
    </xf>
    <xf numFmtId="0" fontId="22" fillId="17" borderId="29" xfId="0" applyFont="1" applyFill="1" applyBorder="1" applyAlignment="1"/>
    <xf numFmtId="0" fontId="20" fillId="17" borderId="6" xfId="0" applyFont="1" applyFill="1" applyBorder="1" applyAlignment="1">
      <alignment vertical="center"/>
    </xf>
    <xf numFmtId="0" fontId="22" fillId="17" borderId="30" xfId="0" applyFont="1" applyFill="1" applyBorder="1" applyAlignment="1"/>
    <xf numFmtId="0" fontId="28" fillId="17" borderId="6" xfId="0" applyFont="1" applyFill="1" applyBorder="1" applyAlignment="1">
      <alignment vertical="top" wrapText="1"/>
    </xf>
    <xf numFmtId="0" fontId="28" fillId="17" borderId="7" xfId="0" applyFont="1" applyFill="1" applyBorder="1" applyAlignment="1">
      <alignment vertical="top" wrapText="1"/>
    </xf>
    <xf numFmtId="0" fontId="28" fillId="17" borderId="7" xfId="0" applyFont="1" applyFill="1" applyBorder="1" applyAlignment="1">
      <alignment vertical="top" wrapText="1"/>
    </xf>
    <xf numFmtId="0" fontId="22" fillId="17" borderId="8" xfId="0" applyFont="1" applyFill="1" applyBorder="1" applyAlignment="1"/>
    <xf numFmtId="0" fontId="20" fillId="17" borderId="0" xfId="0" applyFont="1" applyFill="1" applyBorder="1" applyAlignment="1">
      <alignment vertical="center"/>
    </xf>
    <xf numFmtId="0" fontId="22" fillId="17" borderId="0" xfId="0" applyFont="1" applyFill="1" applyBorder="1" applyAlignment="1"/>
    <xf numFmtId="0" fontId="28" fillId="17" borderId="0" xfId="0" applyFont="1" applyFill="1" applyBorder="1" applyAlignment="1">
      <alignment vertical="top" wrapText="1"/>
    </xf>
    <xf numFmtId="0" fontId="28" fillId="17" borderId="10" xfId="0" applyFont="1" applyFill="1" applyBorder="1" applyAlignment="1">
      <alignment vertical="top" wrapText="1"/>
    </xf>
    <xf numFmtId="0" fontId="20" fillId="13" borderId="8" xfId="0" applyFont="1" applyFill="1" applyBorder="1" applyAlignment="1">
      <alignment horizontal="center"/>
    </xf>
    <xf numFmtId="0" fontId="28" fillId="0" borderId="0" xfId="0" applyFont="1" applyFill="1" applyBorder="1" applyAlignment="1">
      <alignment vertical="top" wrapText="1"/>
    </xf>
    <xf numFmtId="0" fontId="28" fillId="0" borderId="10" xfId="0" applyFont="1" applyFill="1" applyBorder="1" applyAlignment="1">
      <alignment vertical="top" wrapText="1"/>
    </xf>
    <xf numFmtId="0" fontId="28" fillId="0" borderId="10" xfId="0" applyFont="1" applyFill="1" applyBorder="1" applyAlignment="1">
      <alignment vertical="top" wrapText="1"/>
    </xf>
    <xf numFmtId="0" fontId="0" fillId="0" borderId="0" xfId="0" applyBorder="1"/>
    <xf numFmtId="0" fontId="22" fillId="0" borderId="0" xfId="0" applyFont="1" applyBorder="1"/>
    <xf numFmtId="0" fontId="28" fillId="0" borderId="0" xfId="0" applyFont="1" applyFill="1" applyBorder="1" applyAlignment="1">
      <alignment vertical="top" wrapText="1"/>
    </xf>
    <xf numFmtId="0" fontId="20" fillId="0" borderId="0" xfId="0" applyFont="1" applyFill="1" applyBorder="1" applyAlignment="1">
      <alignment vertical="center"/>
    </xf>
    <xf numFmtId="0" fontId="24" fillId="0" borderId="0" xfId="0" applyFont="1" applyFill="1" applyBorder="1" applyAlignment="1">
      <alignment vertical="top" wrapText="1"/>
    </xf>
    <xf numFmtId="0" fontId="20" fillId="0" borderId="0" xfId="0" applyFont="1" applyFill="1" applyBorder="1" applyAlignment="1">
      <alignment vertical="center"/>
    </xf>
    <xf numFmtId="0" fontId="20" fillId="13" borderId="8" xfId="0" applyFont="1" applyFill="1" applyBorder="1" applyAlignment="1">
      <alignment horizontal="center" vertical="center"/>
    </xf>
    <xf numFmtId="0" fontId="28" fillId="17" borderId="0" xfId="0" applyFont="1" applyFill="1" applyBorder="1" applyAlignment="1">
      <alignment horizontal="center" vertical="top" wrapText="1"/>
    </xf>
    <xf numFmtId="0" fontId="28" fillId="17" borderId="10" xfId="0" applyFont="1" applyFill="1" applyBorder="1" applyAlignment="1">
      <alignment horizontal="center" vertical="top" wrapText="1"/>
    </xf>
    <xf numFmtId="0" fontId="28" fillId="18" borderId="0" xfId="0" applyFont="1" applyFill="1" applyBorder="1" applyAlignment="1">
      <alignment horizontal="center" vertical="top" wrapText="1"/>
    </xf>
    <xf numFmtId="0" fontId="28" fillId="18" borderId="10" xfId="0" applyFont="1" applyFill="1" applyBorder="1" applyAlignment="1">
      <alignment horizontal="center" vertical="top" wrapText="1"/>
    </xf>
    <xf numFmtId="0" fontId="20" fillId="0" borderId="0" xfId="0" applyFont="1" applyBorder="1" applyAlignment="1">
      <alignment vertical="center"/>
    </xf>
    <xf numFmtId="0" fontId="0" fillId="0" borderId="10" xfId="0" applyBorder="1"/>
    <xf numFmtId="0" fontId="24" fillId="0" borderId="0" xfId="0" applyFont="1" applyFill="1" applyBorder="1" applyAlignment="1">
      <alignment horizontal="right" vertical="top" wrapText="1"/>
    </xf>
    <xf numFmtId="0" fontId="25" fillId="0" borderId="0" xfId="0" applyFont="1" applyFill="1" applyBorder="1" applyAlignment="1">
      <alignment vertical="top"/>
    </xf>
    <xf numFmtId="0" fontId="28" fillId="0" borderId="0" xfId="0" applyFont="1" applyFill="1" applyBorder="1" applyAlignment="1">
      <alignment vertical="top" wrapText="1"/>
    </xf>
    <xf numFmtId="0" fontId="0" fillId="0" borderId="0" xfId="0" applyBorder="1"/>
    <xf numFmtId="0" fontId="28" fillId="0" borderId="0" xfId="0" applyFont="1" applyFill="1" applyBorder="1" applyAlignment="1">
      <alignment vertical="top" wrapText="1"/>
    </xf>
    <xf numFmtId="0" fontId="28" fillId="0" borderId="0" xfId="0" applyFont="1" applyFill="1" applyBorder="1" applyAlignment="1">
      <alignment horizontal="left" vertical="top" wrapText="1"/>
    </xf>
    <xf numFmtId="0" fontId="28" fillId="0" borderId="10" xfId="0" applyFont="1" applyFill="1" applyBorder="1" applyAlignment="1">
      <alignment vertical="top" wrapText="1"/>
    </xf>
    <xf numFmtId="0" fontId="20" fillId="13" borderId="13" xfId="0" applyFont="1" applyFill="1" applyBorder="1" applyAlignment="1">
      <alignment horizontal="center"/>
    </xf>
    <xf numFmtId="0" fontId="20" fillId="14" borderId="14" xfId="0" applyFont="1" applyFill="1" applyBorder="1" applyAlignment="1">
      <alignment vertical="center"/>
    </xf>
    <xf numFmtId="0" fontId="27" fillId="14" borderId="15" xfId="0" applyFont="1" applyFill="1" applyBorder="1" applyAlignment="1">
      <alignment vertical="top" wrapText="1"/>
    </xf>
    <xf numFmtId="0" fontId="20" fillId="13" borderId="31" xfId="0" applyFont="1" applyFill="1" applyBorder="1" applyAlignment="1">
      <alignment horizontal="center"/>
    </xf>
    <xf numFmtId="0" fontId="11" fillId="0" borderId="0" xfId="0" applyFont="1" applyAlignment="1">
      <alignment vertical="center"/>
    </xf>
    <xf numFmtId="0" fontId="20" fillId="13" borderId="0" xfId="0" applyFont="1" applyFill="1" applyBorder="1" applyAlignment="1">
      <alignment horizontal="center" vertical="center"/>
    </xf>
    <xf numFmtId="0" fontId="20" fillId="0" borderId="6"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7" xfId="0" applyFont="1" applyFill="1" applyBorder="1" applyAlignment="1">
      <alignment horizontal="center" vertical="top" wrapText="1"/>
    </xf>
    <xf numFmtId="0" fontId="20" fillId="17" borderId="8" xfId="0" applyFont="1" applyFill="1" applyBorder="1" applyAlignment="1">
      <alignment vertical="center"/>
    </xf>
    <xf numFmtId="0" fontId="24" fillId="17" borderId="0" xfId="0" applyFont="1" applyFill="1" applyBorder="1" applyAlignment="1">
      <alignment vertical="top"/>
    </xf>
    <xf numFmtId="0" fontId="28" fillId="17" borderId="0" xfId="0" applyFont="1" applyFill="1" applyBorder="1" applyAlignment="1">
      <alignment vertical="top" wrapText="1"/>
    </xf>
    <xf numFmtId="0" fontId="32" fillId="17" borderId="0" xfId="0" applyFont="1" applyFill="1" applyBorder="1" applyAlignment="1">
      <alignment vertical="top" wrapText="1"/>
    </xf>
    <xf numFmtId="0" fontId="32" fillId="17" borderId="10" xfId="0" applyFont="1" applyFill="1" applyBorder="1" applyAlignment="1">
      <alignment vertical="top" wrapText="1"/>
    </xf>
    <xf numFmtId="0" fontId="24" fillId="17" borderId="0" xfId="0" applyFont="1" applyFill="1" applyBorder="1" applyAlignment="1">
      <alignment vertical="top" wrapText="1"/>
    </xf>
    <xf numFmtId="0" fontId="24" fillId="17" borderId="1" xfId="0" applyFont="1" applyFill="1" applyBorder="1" applyAlignment="1">
      <alignment vertical="top" wrapText="1"/>
    </xf>
    <xf numFmtId="0" fontId="28" fillId="17" borderId="1" xfId="0" applyFont="1" applyFill="1" applyBorder="1" applyAlignment="1">
      <alignment horizontal="center" vertical="top" wrapText="1"/>
    </xf>
    <xf numFmtId="0" fontId="28" fillId="17" borderId="1" xfId="0" applyFont="1" applyFill="1" applyBorder="1" applyAlignment="1">
      <alignment vertical="top" wrapText="1"/>
    </xf>
    <xf numFmtId="0" fontId="28" fillId="17" borderId="1" xfId="0" applyFont="1" applyFill="1" applyBorder="1" applyAlignment="1">
      <alignment vertical="center" wrapText="1"/>
    </xf>
    <xf numFmtId="0" fontId="28" fillId="18" borderId="1" xfId="0" applyFont="1" applyFill="1" applyBorder="1" applyAlignment="1">
      <alignment horizontal="left" vertical="top" wrapText="1"/>
    </xf>
    <xf numFmtId="171" fontId="32" fillId="17" borderId="1" xfId="1" applyNumberFormat="1" applyFont="1" applyFill="1" applyBorder="1" applyAlignment="1">
      <alignment vertical="top" wrapText="1"/>
    </xf>
    <xf numFmtId="171" fontId="32" fillId="17" borderId="10" xfId="1" applyNumberFormat="1" applyFont="1" applyFill="1" applyBorder="1" applyAlignment="1">
      <alignment vertical="top" wrapText="1"/>
    </xf>
    <xf numFmtId="0" fontId="20" fillId="17" borderId="8" xfId="0" applyFont="1" applyFill="1" applyBorder="1" applyAlignment="1">
      <alignment vertical="center"/>
    </xf>
    <xf numFmtId="0" fontId="20" fillId="0" borderId="8" xfId="0" applyFont="1" applyFill="1" applyBorder="1" applyAlignment="1">
      <alignment vertical="center"/>
    </xf>
    <xf numFmtId="0" fontId="32" fillId="0" borderId="0" xfId="0" applyFont="1" applyFill="1" applyBorder="1" applyAlignment="1">
      <alignment vertical="top" wrapText="1"/>
    </xf>
    <xf numFmtId="0" fontId="32" fillId="0" borderId="10" xfId="0" applyFont="1" applyFill="1" applyBorder="1" applyAlignment="1">
      <alignment vertical="top" wrapText="1"/>
    </xf>
    <xf numFmtId="0" fontId="28" fillId="18" borderId="1" xfId="0" applyFont="1" applyFill="1" applyBorder="1" applyAlignment="1">
      <alignment vertical="top" wrapText="1"/>
    </xf>
    <xf numFmtId="0" fontId="28" fillId="18" borderId="1" xfId="0" applyFont="1" applyFill="1" applyBorder="1" applyAlignment="1">
      <alignment vertical="top" wrapText="1"/>
    </xf>
    <xf numFmtId="0" fontId="32" fillId="17" borderId="1" xfId="0" applyFont="1" applyFill="1" applyBorder="1" applyAlignment="1">
      <alignment vertical="top" wrapText="1"/>
    </xf>
    <xf numFmtId="0" fontId="20" fillId="0" borderId="8" xfId="0" applyFont="1" applyFill="1" applyBorder="1" applyAlignment="1">
      <alignment vertical="center"/>
    </xf>
    <xf numFmtId="0" fontId="28" fillId="0" borderId="0" xfId="0" applyFont="1" applyFill="1" applyBorder="1" applyAlignment="1">
      <alignment horizontal="center" vertical="top"/>
    </xf>
    <xf numFmtId="164" fontId="28" fillId="0" borderId="0" xfId="1" applyFont="1" applyFill="1" applyBorder="1" applyAlignment="1">
      <alignment vertical="top"/>
    </xf>
    <xf numFmtId="164" fontId="28" fillId="0" borderId="10" xfId="1" applyFont="1" applyFill="1" applyBorder="1" applyAlignment="1">
      <alignment vertical="top"/>
    </xf>
    <xf numFmtId="0" fontId="20" fillId="13" borderId="0" xfId="0" applyFont="1" applyFill="1" applyBorder="1" applyAlignment="1">
      <alignment horizontal="center" vertical="center"/>
    </xf>
    <xf numFmtId="0" fontId="20" fillId="0" borderId="13" xfId="0" applyFont="1" applyFill="1" applyBorder="1" applyAlignment="1">
      <alignment vertical="center"/>
    </xf>
    <xf numFmtId="0" fontId="24" fillId="0" borderId="14" xfId="0" applyFont="1" applyFill="1" applyBorder="1" applyAlignment="1">
      <alignment horizontal="right" vertical="top" wrapText="1"/>
    </xf>
    <xf numFmtId="0" fontId="25" fillId="0" borderId="14" xfId="0" applyFont="1" applyFill="1" applyBorder="1" applyAlignment="1">
      <alignment vertical="top"/>
    </xf>
    <xf numFmtId="0" fontId="28" fillId="0" borderId="14" xfId="0" applyFont="1" applyFill="1" applyBorder="1" applyAlignment="1">
      <alignment horizontal="center" vertical="top"/>
    </xf>
    <xf numFmtId="164" fontId="28" fillId="0" borderId="14" xfId="1" applyFont="1" applyFill="1" applyBorder="1" applyAlignment="1">
      <alignment vertical="top"/>
    </xf>
    <xf numFmtId="164" fontId="28" fillId="0" borderId="15" xfId="1" applyFont="1" applyFill="1" applyBorder="1" applyAlignment="1">
      <alignment vertical="top"/>
    </xf>
    <xf numFmtId="0" fontId="20" fillId="16" borderId="8" xfId="0" applyFont="1" applyFill="1" applyBorder="1" applyAlignment="1">
      <alignment vertical="center"/>
    </xf>
    <xf numFmtId="0" fontId="25" fillId="0" borderId="0" xfId="0" applyFont="1" applyFill="1" applyBorder="1" applyAlignment="1">
      <alignment vertical="top"/>
    </xf>
    <xf numFmtId="0" fontId="28" fillId="0" borderId="0" xfId="0" applyFont="1" applyFill="1" applyBorder="1" applyAlignment="1">
      <alignment horizontal="center" vertical="top"/>
    </xf>
    <xf numFmtId="164" fontId="28" fillId="0" borderId="0" xfId="1" applyFont="1" applyFill="1" applyBorder="1" applyAlignment="1">
      <alignment vertical="top"/>
    </xf>
    <xf numFmtId="0" fontId="21" fillId="17" borderId="0" xfId="0" applyFont="1" applyFill="1" applyBorder="1"/>
    <xf numFmtId="0" fontId="28" fillId="17" borderId="0" xfId="0" applyFont="1" applyFill="1" applyBorder="1" applyAlignment="1">
      <alignment vertical="top" wrapText="1"/>
    </xf>
    <xf numFmtId="0" fontId="32" fillId="17" borderId="0" xfId="0" applyFont="1" applyFill="1" applyBorder="1" applyAlignment="1">
      <alignment vertical="top" wrapText="1"/>
    </xf>
    <xf numFmtId="0" fontId="32" fillId="17" borderId="0" xfId="0" applyFont="1" applyFill="1" applyBorder="1" applyAlignment="1">
      <alignment vertical="top" wrapText="1"/>
    </xf>
    <xf numFmtId="0" fontId="20" fillId="13" borderId="0" xfId="0" applyFont="1" applyFill="1" applyBorder="1" applyAlignment="1">
      <alignment horizontal="center" vertical="center"/>
    </xf>
    <xf numFmtId="0" fontId="20" fillId="17" borderId="8" xfId="0" applyFont="1" applyFill="1" applyBorder="1" applyAlignment="1">
      <alignment vertical="center"/>
    </xf>
    <xf numFmtId="0" fontId="24" fillId="18" borderId="1" xfId="0" applyFont="1" applyFill="1" applyBorder="1" applyAlignment="1">
      <alignment horizontal="center" vertical="center" wrapText="1"/>
    </xf>
    <xf numFmtId="0" fontId="32" fillId="17" borderId="10" xfId="0" applyFont="1" applyFill="1" applyBorder="1" applyAlignment="1">
      <alignment vertical="top" wrapText="1"/>
    </xf>
    <xf numFmtId="0" fontId="32" fillId="17" borderId="0" xfId="0" applyFont="1" applyFill="1" applyAlignment="1">
      <alignment horizontal="left" vertical="top" wrapText="1"/>
    </xf>
    <xf numFmtId="0" fontId="33" fillId="17" borderId="0" xfId="0" applyFont="1" applyFill="1" applyAlignment="1">
      <alignment horizontal="center" vertical="center" wrapText="1"/>
    </xf>
    <xf numFmtId="0" fontId="32" fillId="17" borderId="1" xfId="0" applyFont="1" applyFill="1" applyBorder="1" applyAlignment="1">
      <alignment vertical="top" wrapText="1"/>
    </xf>
    <xf numFmtId="0" fontId="34" fillId="17" borderId="1" xfId="0" applyFont="1" applyFill="1" applyBorder="1" applyAlignment="1">
      <alignment horizontal="center" vertical="center" wrapText="1"/>
    </xf>
    <xf numFmtId="0" fontId="24" fillId="17" borderId="1" xfId="0" applyFont="1" applyFill="1" applyBorder="1" applyAlignment="1">
      <alignment horizontal="center" vertical="center" wrapText="1"/>
    </xf>
    <xf numFmtId="0" fontId="1" fillId="17" borderId="1" xfId="0" applyFont="1" applyFill="1" applyBorder="1" applyAlignment="1">
      <alignment horizontal="right" vertical="top"/>
    </xf>
    <xf numFmtId="0" fontId="28" fillId="17" borderId="28" xfId="0" applyFont="1" applyFill="1" applyBorder="1" applyAlignment="1">
      <alignment horizontal="center" vertical="top"/>
    </xf>
    <xf numFmtId="0" fontId="3" fillId="17" borderId="28" xfId="0" applyFont="1" applyFill="1" applyBorder="1" applyAlignment="1">
      <alignment horizontal="center" vertical="center"/>
    </xf>
    <xf numFmtId="164" fontId="28" fillId="17" borderId="28" xfId="1" applyFont="1" applyFill="1" applyBorder="1" applyAlignment="1">
      <alignment vertical="top"/>
    </xf>
    <xf numFmtId="164" fontId="28" fillId="17" borderId="10" xfId="1" applyFont="1" applyFill="1" applyBorder="1" applyAlignment="1">
      <alignment vertical="top"/>
    </xf>
    <xf numFmtId="0" fontId="24" fillId="17" borderId="3" xfId="0" applyFont="1" applyFill="1" applyBorder="1" applyAlignment="1">
      <alignment horizontal="right" vertical="top" wrapText="1"/>
    </xf>
    <xf numFmtId="0" fontId="28" fillId="17" borderId="25" xfId="0" applyFont="1" applyFill="1" applyBorder="1" applyAlignment="1">
      <alignment horizontal="center" vertical="top"/>
    </xf>
    <xf numFmtId="0" fontId="3" fillId="17" borderId="22" xfId="0" applyFont="1" applyFill="1" applyBorder="1" applyAlignment="1">
      <alignment horizontal="center" vertical="center"/>
    </xf>
    <xf numFmtId="1" fontId="28" fillId="18" borderId="32" xfId="1" applyNumberFormat="1" applyFont="1" applyFill="1" applyBorder="1" applyAlignment="1">
      <alignment horizontal="left" vertical="top"/>
    </xf>
    <xf numFmtId="0" fontId="28" fillId="17" borderId="26" xfId="0" applyFont="1" applyFill="1" applyBorder="1" applyAlignment="1">
      <alignment horizontal="center" vertical="top"/>
    </xf>
    <xf numFmtId="0" fontId="3" fillId="17" borderId="23" xfId="0" applyFont="1" applyFill="1" applyBorder="1" applyAlignment="1">
      <alignment horizontal="center" vertical="center"/>
    </xf>
    <xf numFmtId="1" fontId="28" fillId="18" borderId="33" xfId="1" applyNumberFormat="1" applyFont="1" applyFill="1" applyBorder="1" applyAlignment="1">
      <alignment horizontal="left" vertical="top"/>
    </xf>
    <xf numFmtId="0" fontId="28" fillId="17" borderId="27" xfId="0" applyFont="1" applyFill="1" applyBorder="1" applyAlignment="1">
      <alignment horizontal="center" vertical="top"/>
    </xf>
    <xf numFmtId="0" fontId="3" fillId="17" borderId="24" xfId="0" applyFont="1" applyFill="1" applyBorder="1" applyAlignment="1">
      <alignment horizontal="center" vertical="center"/>
    </xf>
    <xf numFmtId="1" fontId="28" fillId="18" borderId="34" xfId="1" applyNumberFormat="1" applyFont="1" applyFill="1" applyBorder="1" applyAlignment="1">
      <alignment horizontal="left" vertical="top"/>
    </xf>
    <xf numFmtId="0" fontId="24" fillId="17" borderId="1" xfId="0" applyFont="1" applyFill="1" applyBorder="1" applyAlignment="1">
      <alignment horizontal="right" vertical="top" wrapText="1"/>
    </xf>
    <xf numFmtId="0" fontId="28" fillId="17" borderId="11" xfId="0" applyFont="1" applyFill="1" applyBorder="1" applyAlignment="1">
      <alignment horizontal="center" vertical="top"/>
    </xf>
    <xf numFmtId="0" fontId="3" fillId="17" borderId="11" xfId="0" applyFont="1" applyFill="1" applyBorder="1" applyAlignment="1">
      <alignment horizontal="center" vertical="center"/>
    </xf>
    <xf numFmtId="171" fontId="28" fillId="17" borderId="11" xfId="1" applyNumberFormat="1" applyFont="1" applyFill="1" applyBorder="1" applyAlignment="1">
      <alignment vertical="top"/>
    </xf>
    <xf numFmtId="0" fontId="20" fillId="0" borderId="8" xfId="0" applyFont="1" applyFill="1" applyBorder="1" applyAlignment="1">
      <alignment vertical="center"/>
    </xf>
    <xf numFmtId="0" fontId="24" fillId="0" borderId="0" xfId="0" applyFont="1" applyFill="1" applyAlignment="1">
      <alignment horizontal="right" vertical="top" wrapText="1"/>
    </xf>
    <xf numFmtId="0" fontId="28" fillId="0" borderId="0" xfId="0" applyFont="1" applyFill="1" applyAlignment="1">
      <alignment horizontal="center" vertical="top"/>
    </xf>
    <xf numFmtId="0" fontId="3" fillId="0" borderId="0" xfId="0" applyFont="1" applyFill="1" applyAlignment="1">
      <alignment horizontal="center" vertical="center"/>
    </xf>
    <xf numFmtId="171" fontId="28" fillId="0" borderId="0" xfId="1" applyNumberFormat="1" applyFont="1" applyFill="1" applyAlignment="1">
      <alignment vertical="top"/>
    </xf>
    <xf numFmtId="164" fontId="28" fillId="0" borderId="10" xfId="1" applyFont="1" applyFill="1" applyBorder="1" applyAlignment="1">
      <alignment vertical="top"/>
    </xf>
    <xf numFmtId="0" fontId="20" fillId="0" borderId="8" xfId="0" applyFont="1" applyFill="1" applyBorder="1" applyAlignment="1">
      <alignment vertical="center"/>
    </xf>
    <xf numFmtId="0" fontId="24" fillId="0" borderId="0" xfId="0" applyFont="1" applyFill="1" applyAlignment="1">
      <alignment horizontal="right" vertical="top" wrapText="1"/>
    </xf>
    <xf numFmtId="0" fontId="25" fillId="0" borderId="0" xfId="0" applyFont="1" applyFill="1" applyAlignment="1">
      <alignment vertical="top"/>
    </xf>
    <xf numFmtId="0" fontId="28" fillId="0" borderId="0" xfId="0" applyFont="1" applyFill="1" applyAlignment="1">
      <alignment horizontal="center" vertical="top"/>
    </xf>
    <xf numFmtId="164" fontId="28" fillId="0" borderId="0" xfId="1" applyFont="1" applyFill="1" applyAlignment="1">
      <alignment vertical="top"/>
    </xf>
    <xf numFmtId="164" fontId="28" fillId="0" borderId="10" xfId="1" applyFont="1" applyFill="1" applyBorder="1" applyAlignment="1">
      <alignment vertical="top"/>
    </xf>
    <xf numFmtId="0" fontId="20" fillId="13" borderId="12" xfId="0" applyFont="1" applyFill="1" applyBorder="1" applyAlignment="1">
      <alignment horizontal="center" vertical="center"/>
    </xf>
    <xf numFmtId="0" fontId="20" fillId="0" borderId="5" xfId="0" applyFont="1" applyFill="1" applyBorder="1" applyAlignment="1">
      <alignment vertical="center"/>
    </xf>
    <xf numFmtId="0" fontId="0" fillId="0" borderId="6" xfId="0" applyBorder="1"/>
    <xf numFmtId="0" fontId="0" fillId="0" borderId="7" xfId="0" applyBorder="1"/>
    <xf numFmtId="0" fontId="20" fillId="13" borderId="3" xfId="0" applyFont="1" applyFill="1" applyBorder="1" applyAlignment="1">
      <alignment horizontal="center" vertical="center"/>
    </xf>
    <xf numFmtId="0" fontId="20" fillId="12" borderId="3" xfId="0" applyFont="1" applyFill="1" applyBorder="1" applyAlignment="1">
      <alignment horizontal="center"/>
    </xf>
    <xf numFmtId="0" fontId="28" fillId="0" borderId="8" xfId="0" applyFont="1" applyBorder="1"/>
    <xf numFmtId="0" fontId="21" fillId="0" borderId="0" xfId="0" applyFont="1" applyFill="1" applyBorder="1" applyAlignment="1">
      <alignment horizontal="center" vertical="center"/>
    </xf>
    <xf numFmtId="0" fontId="21" fillId="21" borderId="0" xfId="0" applyNumberFormat="1" applyFont="1" applyFill="1" applyBorder="1" applyAlignment="1" applyProtection="1">
      <alignment horizontal="center" vertical="center"/>
      <protection locked="0"/>
    </xf>
    <xf numFmtId="0" fontId="10" fillId="0" borderId="0" xfId="0" applyFont="1" applyFill="1" applyBorder="1"/>
    <xf numFmtId="0" fontId="35" fillId="0" borderId="0" xfId="0" applyFont="1" applyFill="1" applyBorder="1"/>
    <xf numFmtId="0" fontId="21" fillId="21" borderId="0" xfId="0" applyFont="1" applyFill="1" applyBorder="1" applyAlignment="1">
      <alignment horizontal="center" vertical="center"/>
    </xf>
    <xf numFmtId="0" fontId="21" fillId="17" borderId="0" xfId="0" applyFont="1" applyFill="1" applyBorder="1" applyAlignment="1">
      <alignment horizontal="center" vertical="center"/>
    </xf>
    <xf numFmtId="9" fontId="21" fillId="0" borderId="0" xfId="2" applyFont="1" applyFill="1" applyAlignment="1"/>
    <xf numFmtId="0" fontId="21" fillId="17" borderId="0" xfId="0" applyFont="1" applyFill="1"/>
    <xf numFmtId="0" fontId="28" fillId="0" borderId="13" xfId="0" applyFont="1" applyBorder="1"/>
    <xf numFmtId="0" fontId="20" fillId="12" borderId="1" xfId="0" applyFont="1" applyFill="1" applyBorder="1" applyAlignment="1">
      <alignment horizontal="center"/>
    </xf>
    <xf numFmtId="0" fontId="24" fillId="0" borderId="0" xfId="0" applyFont="1"/>
    <xf numFmtId="0" fontId="22" fillId="0" borderId="0" xfId="0" applyFont="1" applyFill="1" applyBorder="1"/>
    <xf numFmtId="0" fontId="0" fillId="0" borderId="0" xfId="0" quotePrefix="1"/>
    <xf numFmtId="0" fontId="20" fillId="0" borderId="0" xfId="0" applyFont="1" applyFill="1" applyAlignment="1">
      <alignment horizontal="center"/>
    </xf>
    <xf numFmtId="0" fontId="36" fillId="0" borderId="0" xfId="0" applyFont="1" applyFill="1" applyBorder="1" applyAlignment="1">
      <alignment vertical="top"/>
    </xf>
    <xf numFmtId="0" fontId="37" fillId="0" borderId="0" xfId="0" applyFont="1" applyFill="1" applyBorder="1" applyAlignment="1">
      <alignment horizontal="center" vertical="center"/>
    </xf>
    <xf numFmtId="0" fontId="38" fillId="0" borderId="0" xfId="0" applyFont="1" applyFill="1" applyBorder="1"/>
    <xf numFmtId="0" fontId="38" fillId="0" borderId="0" xfId="0" applyFont="1" applyFill="1"/>
    <xf numFmtId="0" fontId="38" fillId="0" borderId="0" xfId="0" applyFont="1" applyFill="1" applyBorder="1" applyAlignment="1">
      <alignment horizontal="center" vertical="center"/>
    </xf>
    <xf numFmtId="0" fontId="38" fillId="21" borderId="0" xfId="0" applyNumberFormat="1" applyFont="1" applyFill="1" applyBorder="1" applyAlignment="1" applyProtection="1">
      <alignment horizontal="center" vertical="center"/>
      <protection locked="0"/>
    </xf>
    <xf numFmtId="0" fontId="38" fillId="21" borderId="0" xfId="0" applyFont="1" applyFill="1" applyBorder="1" applyAlignment="1">
      <alignment horizontal="center" vertical="center"/>
    </xf>
    <xf numFmtId="0" fontId="38" fillId="0" borderId="0" xfId="0" applyFont="1" applyFill="1" applyBorder="1" applyAlignment="1">
      <alignment vertical="center"/>
    </xf>
    <xf numFmtId="0" fontId="38" fillId="0" borderId="0" xfId="0" applyFont="1" applyFill="1" applyBorder="1" applyAlignment="1">
      <alignment horizontal="left"/>
    </xf>
    <xf numFmtId="0" fontId="38" fillId="0" borderId="0" xfId="0" applyFont="1" applyFill="1" applyAlignment="1">
      <alignment horizontal="left"/>
    </xf>
    <xf numFmtId="0" fontId="38" fillId="0" borderId="0" xfId="0" applyFont="1" applyFill="1" applyBorder="1" applyAlignment="1">
      <alignment horizontal="left" vertical="center"/>
    </xf>
    <xf numFmtId="169" fontId="38" fillId="0" borderId="0" xfId="0" applyNumberFormat="1" applyFont="1" applyFill="1" applyBorder="1"/>
    <xf numFmtId="13" fontId="38" fillId="0" borderId="0" xfId="0" applyNumberFormat="1" applyFont="1" applyFill="1" applyBorder="1"/>
    <xf numFmtId="0" fontId="38" fillId="24" borderId="0" xfId="0" applyFont="1" applyFill="1" applyBorder="1"/>
    <xf numFmtId="164" fontId="38" fillId="0" borderId="0" xfId="1" applyFont="1" applyFill="1" applyBorder="1" applyAlignment="1">
      <alignment vertical="center"/>
    </xf>
    <xf numFmtId="0" fontId="38" fillId="7" borderId="21" xfId="0" applyFont="1" applyFill="1" applyBorder="1" applyAlignment="1">
      <alignment vertical="center"/>
    </xf>
    <xf numFmtId="164" fontId="38" fillId="7" borderId="0" xfId="1" applyFont="1" applyFill="1" applyBorder="1" applyAlignment="1">
      <alignment vertical="center"/>
    </xf>
    <xf numFmtId="0" fontId="38" fillId="7" borderId="0" xfId="0" applyFont="1" applyFill="1" applyBorder="1" applyAlignment="1">
      <alignment vertical="center"/>
    </xf>
    <xf numFmtId="0" fontId="38" fillId="7" borderId="0" xfId="0" applyFont="1" applyFill="1" applyBorder="1"/>
    <xf numFmtId="0" fontId="38" fillId="2" borderId="0" xfId="0" applyFont="1" applyFill="1" applyBorder="1"/>
    <xf numFmtId="0" fontId="38" fillId="10" borderId="0" xfId="0" applyFont="1" applyFill="1" applyBorder="1"/>
    <xf numFmtId="173" fontId="38" fillId="0" borderId="0" xfId="0" applyNumberFormat="1" applyFont="1" applyFill="1" applyBorder="1"/>
    <xf numFmtId="0" fontId="38" fillId="0" borderId="0" xfId="0" applyFont="1"/>
    <xf numFmtId="0" fontId="38" fillId="0" borderId="0" xfId="0" applyFont="1" applyFill="1" applyBorder="1" applyAlignment="1">
      <alignment wrapText="1"/>
    </xf>
    <xf numFmtId="0" fontId="38" fillId="0" borderId="0" xfId="0" applyFont="1" applyFill="1" applyAlignment="1">
      <alignment wrapText="1"/>
    </xf>
    <xf numFmtId="0" fontId="38" fillId="0" borderId="0" xfId="0" applyFont="1" applyAlignment="1">
      <alignment horizontal="center" vertical="center"/>
    </xf>
    <xf numFmtId="0" fontId="38" fillId="0" borderId="0" xfId="0" applyFont="1" applyAlignment="1">
      <alignment vertical="center"/>
    </xf>
    <xf numFmtId="0" fontId="38" fillId="0" borderId="0" xfId="0" applyFont="1" applyFill="1" applyBorder="1" applyAlignment="1">
      <alignment vertical="top" wrapText="1"/>
    </xf>
    <xf numFmtId="0" fontId="38" fillId="0" borderId="0" xfId="0" applyFont="1" applyFill="1" applyBorder="1" applyAlignment="1">
      <alignment vertical="center" wrapText="1"/>
    </xf>
    <xf numFmtId="0" fontId="38" fillId="0" borderId="0" xfId="0" applyFont="1" applyFill="1" applyBorder="1" applyAlignment="1">
      <alignment horizontal="left" vertical="center" wrapText="1"/>
    </xf>
    <xf numFmtId="165" fontId="38" fillId="0" borderId="0" xfId="0" applyNumberFormat="1" applyFont="1" applyFill="1" applyBorder="1"/>
    <xf numFmtId="0" fontId="38" fillId="0" borderId="0" xfId="0" applyFont="1" applyFill="1" applyAlignment="1">
      <alignment horizontal="left" vertical="center" wrapText="1"/>
    </xf>
    <xf numFmtId="0" fontId="39" fillId="0" borderId="0" xfId="0" applyFont="1" applyFill="1" applyBorder="1" applyAlignment="1">
      <alignment vertical="center"/>
    </xf>
    <xf numFmtId="0" fontId="38" fillId="0" borderId="0" xfId="0" applyFont="1" applyAlignment="1">
      <alignment horizontal="left"/>
    </xf>
    <xf numFmtId="170" fontId="38" fillId="0" borderId="1" xfId="1" applyNumberFormat="1" applyFont="1" applyFill="1" applyBorder="1" applyAlignment="1">
      <alignment horizontal="center" vertical="center" wrapText="1"/>
    </xf>
    <xf numFmtId="0" fontId="38" fillId="11" borderId="21" xfId="0" applyFont="1" applyFill="1" applyBorder="1" applyAlignment="1">
      <alignment vertical="center"/>
    </xf>
    <xf numFmtId="164" fontId="38" fillId="2" borderId="0" xfId="1" applyFont="1" applyFill="1" applyAlignment="1">
      <alignment vertical="center"/>
    </xf>
    <xf numFmtId="170" fontId="39" fillId="0" borderId="1" xfId="1" applyNumberFormat="1" applyFont="1" applyFill="1" applyBorder="1" applyAlignment="1">
      <alignment horizontal="center" vertical="center" wrapText="1"/>
    </xf>
    <xf numFmtId="0" fontId="38" fillId="11" borderId="0" xfId="0" applyFont="1" applyFill="1" applyAlignment="1">
      <alignment vertical="center"/>
    </xf>
    <xf numFmtId="0" fontId="39" fillId="17" borderId="5" xfId="0" applyFont="1" applyFill="1" applyBorder="1" applyAlignment="1">
      <alignment vertical="center"/>
    </xf>
    <xf numFmtId="0" fontId="39" fillId="0" borderId="0" xfId="0" applyFont="1" applyFill="1" applyBorder="1" applyAlignment="1">
      <alignment horizontal="center" vertical="center"/>
    </xf>
    <xf numFmtId="0" fontId="39" fillId="0" borderId="0" xfId="0" applyFont="1" applyFill="1" applyBorder="1" applyAlignment="1">
      <alignment horizontal="center" vertical="center" wrapText="1"/>
    </xf>
    <xf numFmtId="0" fontId="39" fillId="0" borderId="0" xfId="0" applyFont="1" applyFill="1" applyBorder="1" applyAlignment="1">
      <alignment horizontal="left" vertical="center"/>
    </xf>
    <xf numFmtId="0" fontId="39" fillId="0" borderId="0" xfId="0" applyFont="1" applyFill="1" applyBorder="1" applyAlignment="1">
      <alignment horizontal="center"/>
    </xf>
    <xf numFmtId="0" fontId="39" fillId="17" borderId="6" xfId="0" applyFont="1" applyFill="1" applyBorder="1" applyAlignment="1">
      <alignment horizontal="center" vertical="top" wrapText="1"/>
    </xf>
    <xf numFmtId="168" fontId="28" fillId="0" borderId="0" xfId="0" applyNumberFormat="1" applyFont="1" applyBorder="1" applyAlignment="1">
      <alignment vertical="top"/>
    </xf>
    <xf numFmtId="0" fontId="22" fillId="0" borderId="0" xfId="0" applyNumberFormat="1" applyFont="1" applyFill="1" applyBorder="1"/>
    <xf numFmtId="0" fontId="20" fillId="0" borderId="0" xfId="0" applyFont="1" applyFill="1"/>
    <xf numFmtId="0" fontId="20" fillId="0" borderId="0" xfId="0" applyFont="1" applyFill="1" applyAlignment="1">
      <alignment horizontal="left"/>
    </xf>
    <xf numFmtId="0" fontId="2" fillId="0" borderId="0" xfId="0" applyFont="1" applyFill="1" applyBorder="1"/>
    <xf numFmtId="0" fontId="36" fillId="0" borderId="0" xfId="0" applyFont="1" applyFill="1" applyBorder="1" applyAlignment="1">
      <alignment horizontal="right"/>
    </xf>
    <xf numFmtId="0" fontId="26" fillId="0" borderId="0" xfId="0" applyFont="1" applyFill="1" applyBorder="1" applyAlignment="1">
      <alignment horizontal="center"/>
    </xf>
    <xf numFmtId="0" fontId="26" fillId="0" borderId="0" xfId="0" applyFont="1" applyFill="1" applyBorder="1" applyAlignment="1">
      <alignment horizontal="center" vertical="center"/>
    </xf>
    <xf numFmtId="0" fontId="36" fillId="0" borderId="0" xfId="0" applyFont="1" applyFill="1" applyBorder="1"/>
    <xf numFmtId="0" fontId="2" fillId="0" borderId="0" xfId="0" applyFont="1" applyFill="1" applyBorder="1" applyAlignment="1">
      <alignment vertical="center"/>
    </xf>
    <xf numFmtId="0" fontId="2" fillId="0" borderId="0" xfId="0" applyFont="1" applyFill="1" applyBorder="1" applyAlignment="1">
      <alignment horizontal="left" vertical="center" wrapText="1"/>
    </xf>
    <xf numFmtId="0" fontId="36" fillId="0" borderId="0" xfId="0" applyFont="1" applyFill="1" applyBorder="1" applyAlignment="1">
      <alignment vertical="center"/>
    </xf>
    <xf numFmtId="0" fontId="36" fillId="0" borderId="0" xfId="0" applyFont="1" applyFill="1" applyBorder="1" applyAlignment="1">
      <alignment horizontal="left" vertical="top" wrapText="1"/>
    </xf>
    <xf numFmtId="0" fontId="36" fillId="0" borderId="0" xfId="0" applyFont="1" applyFill="1" applyBorder="1" applyAlignment="1">
      <alignment vertical="top" wrapText="1"/>
    </xf>
    <xf numFmtId="0" fontId="2" fillId="0" borderId="0" xfId="0" applyFont="1" applyFill="1" applyBorder="1" applyAlignment="1">
      <alignment horizontal="center" vertical="center"/>
    </xf>
    <xf numFmtId="0" fontId="36" fillId="0" borderId="0" xfId="0" applyFont="1" applyFill="1" applyBorder="1" applyAlignment="1">
      <alignment horizontal="center" vertical="top"/>
    </xf>
    <xf numFmtId="0" fontId="36" fillId="0" borderId="0" xfId="0" applyFont="1" applyFill="1" applyBorder="1" applyAlignment="1">
      <alignment horizontal="right" vertical="top"/>
    </xf>
    <xf numFmtId="0" fontId="1" fillId="0" borderId="0" xfId="0" applyFont="1" applyFill="1" applyBorder="1" applyAlignment="1">
      <alignment horizontal="left" vertical="top"/>
    </xf>
    <xf numFmtId="167" fontId="2" fillId="0" borderId="0" xfId="0" applyNumberFormat="1" applyFont="1" applyFill="1" applyBorder="1"/>
    <xf numFmtId="0" fontId="2" fillId="0" borderId="0" xfId="0" applyFont="1" applyFill="1" applyBorder="1" applyAlignment="1">
      <alignment horizontal="right"/>
    </xf>
    <xf numFmtId="0" fontId="36" fillId="0" borderId="0" xfId="0" applyFont="1" applyFill="1" applyBorder="1" applyAlignment="1">
      <alignment vertical="center" wrapText="1"/>
    </xf>
    <xf numFmtId="0" fontId="1" fillId="0" borderId="0" xfId="0" applyFont="1" applyFill="1" applyBorder="1" applyAlignment="1">
      <alignment horizontal="left" vertical="top" wrapText="1"/>
    </xf>
    <xf numFmtId="0" fontId="1" fillId="0" borderId="0" xfId="0" applyFont="1" applyFill="1" applyBorder="1" applyAlignment="1">
      <alignment horizontal="center" vertical="top"/>
    </xf>
    <xf numFmtId="0" fontId="36" fillId="0" borderId="0" xfId="0" applyFont="1" applyFill="1" applyBorder="1" applyAlignment="1">
      <alignment horizontal="center"/>
    </xf>
    <xf numFmtId="0" fontId="2" fillId="0" borderId="0" xfId="0" applyFont="1" applyFill="1" applyBorder="1" applyAlignment="1">
      <alignment wrapText="1"/>
    </xf>
    <xf numFmtId="0" fontId="2" fillId="0" borderId="0" xfId="0" applyFont="1" applyFill="1" applyBorder="1" applyAlignment="1">
      <alignment horizontal="center"/>
    </xf>
    <xf numFmtId="0" fontId="36" fillId="0" borderId="0" xfId="0" applyFont="1" applyFill="1" applyBorder="1" applyAlignment="1">
      <alignment horizontal="left"/>
    </xf>
    <xf numFmtId="0" fontId="41" fillId="0" borderId="0" xfId="0" applyFont="1" applyFill="1" applyBorder="1"/>
    <xf numFmtId="0" fontId="41" fillId="0" borderId="0" xfId="0" applyFont="1" applyFill="1" applyBorder="1" applyAlignment="1">
      <alignment vertical="center"/>
    </xf>
    <xf numFmtId="0" fontId="41" fillId="0" borderId="5" xfId="0" applyFont="1" applyFill="1" applyBorder="1" applyAlignment="1">
      <alignment vertical="center"/>
    </xf>
    <xf numFmtId="0" fontId="41" fillId="0" borderId="6" xfId="0" applyFont="1" applyFill="1" applyBorder="1" applyAlignment="1">
      <alignment vertical="center" wrapText="1"/>
    </xf>
    <xf numFmtId="0" fontId="2" fillId="0" borderId="6" xfId="0" applyFont="1" applyFill="1" applyBorder="1" applyAlignment="1">
      <alignment vertical="center"/>
    </xf>
    <xf numFmtId="0" fontId="2" fillId="0" borderId="6" xfId="0" applyFont="1" applyFill="1" applyBorder="1"/>
    <xf numFmtId="0" fontId="2" fillId="0" borderId="7" xfId="0" applyFont="1" applyFill="1" applyBorder="1"/>
    <xf numFmtId="0" fontId="2" fillId="0" borderId="8" xfId="0" applyFont="1" applyFill="1" applyBorder="1"/>
    <xf numFmtId="0" fontId="2" fillId="0" borderId="10" xfId="0" applyFont="1" applyFill="1" applyBorder="1"/>
    <xf numFmtId="0" fontId="2" fillId="0" borderId="13" xfId="0" applyFont="1" applyFill="1" applyBorder="1"/>
    <xf numFmtId="0" fontId="0" fillId="0" borderId="14" xfId="0" applyFill="1" applyBorder="1"/>
    <xf numFmtId="0" fontId="2" fillId="0" borderId="14" xfId="0" applyFont="1" applyFill="1" applyBorder="1"/>
    <xf numFmtId="0" fontId="2" fillId="0" borderId="15" xfId="0" applyFont="1" applyFill="1" applyBorder="1"/>
    <xf numFmtId="0" fontId="41" fillId="0" borderId="5" xfId="0" applyFont="1" applyFill="1" applyBorder="1"/>
    <xf numFmtId="0" fontId="40" fillId="0" borderId="6" xfId="0" applyFont="1" applyFill="1" applyBorder="1" applyAlignment="1">
      <alignment horizontal="left"/>
    </xf>
    <xf numFmtId="0" fontId="1" fillId="0" borderId="6" xfId="0" applyFont="1" applyFill="1" applyBorder="1" applyAlignment="1">
      <alignment horizontal="center" vertical="top"/>
    </xf>
    <xf numFmtId="0" fontId="1" fillId="0" borderId="14" xfId="0" applyFont="1" applyFill="1" applyBorder="1" applyAlignment="1">
      <alignment horizontal="left" vertical="top" wrapText="1"/>
    </xf>
    <xf numFmtId="0" fontId="1" fillId="0" borderId="14" xfId="0" applyFont="1" applyFill="1" applyBorder="1" applyAlignment="1">
      <alignment horizontal="center" vertical="top"/>
    </xf>
    <xf numFmtId="0" fontId="36" fillId="0" borderId="5" xfId="0" applyFont="1" applyFill="1" applyBorder="1"/>
    <xf numFmtId="0" fontId="36" fillId="0" borderId="8" xfId="0" applyFont="1" applyFill="1" applyBorder="1"/>
    <xf numFmtId="0" fontId="21" fillId="0" borderId="8" xfId="0" applyFont="1" applyFill="1" applyBorder="1"/>
    <xf numFmtId="0" fontId="21" fillId="0" borderId="10" xfId="0" applyFont="1" applyFill="1" applyBorder="1"/>
    <xf numFmtId="0" fontId="21" fillId="0" borderId="14" xfId="0" applyFont="1" applyFill="1" applyBorder="1"/>
    <xf numFmtId="0" fontId="2" fillId="0" borderId="0" xfId="0" applyFont="1" applyFill="1" applyBorder="1" applyAlignment="1">
      <alignment horizontal="center" vertical="center"/>
    </xf>
    <xf numFmtId="0" fontId="2" fillId="0" borderId="0" xfId="0" applyFont="1" applyFill="1" applyBorder="1" applyAlignment="1">
      <alignment horizontal="left" vertical="center" wrapText="1"/>
    </xf>
    <xf numFmtId="0" fontId="20" fillId="0" borderId="3" xfId="0" applyFont="1" applyFill="1" applyBorder="1" applyAlignment="1">
      <alignment horizontal="left" vertical="top"/>
    </xf>
    <xf numFmtId="0" fontId="36" fillId="22" borderId="3" xfId="0" applyFont="1" applyFill="1" applyBorder="1" applyAlignment="1">
      <alignment horizontal="left" vertical="top"/>
    </xf>
    <xf numFmtId="0" fontId="2" fillId="22" borderId="3" xfId="0" applyFont="1" applyFill="1" applyBorder="1" applyAlignment="1">
      <alignment horizontal="left" vertical="top" wrapText="1"/>
    </xf>
    <xf numFmtId="0" fontId="0" fillId="0" borderId="3" xfId="0" applyFont="1" applyBorder="1" applyAlignment="1">
      <alignment horizontal="left" vertical="top"/>
    </xf>
    <xf numFmtId="0" fontId="36" fillId="22" borderId="3" xfId="0" applyFont="1" applyFill="1" applyBorder="1" applyAlignment="1">
      <alignment horizontal="left" vertical="top" wrapText="1"/>
    </xf>
    <xf numFmtId="0" fontId="22" fillId="0" borderId="3" xfId="0" applyFont="1" applyFill="1" applyBorder="1" applyAlignment="1">
      <alignment horizontal="left" vertical="top"/>
    </xf>
    <xf numFmtId="0" fontId="20" fillId="17" borderId="3" xfId="0" applyFont="1" applyFill="1" applyBorder="1" applyAlignment="1">
      <alignment horizontal="left" vertical="top"/>
    </xf>
    <xf numFmtId="0" fontId="22" fillId="17" borderId="3" xfId="0" applyFont="1" applyFill="1" applyBorder="1" applyAlignment="1">
      <alignment horizontal="left" vertical="top"/>
    </xf>
    <xf numFmtId="0" fontId="22" fillId="21" borderId="50" xfId="0" applyNumberFormat="1" applyFont="1" applyFill="1" applyBorder="1" applyAlignment="1">
      <alignment horizontal="right" vertical="center"/>
    </xf>
    <xf numFmtId="0" fontId="28" fillId="21" borderId="50" xfId="0" applyNumberFormat="1" applyFont="1" applyFill="1" applyBorder="1" applyAlignment="1">
      <alignment horizontal="right" vertical="top"/>
    </xf>
    <xf numFmtId="164" fontId="28" fillId="21" borderId="50" xfId="1" applyFont="1" applyFill="1" applyBorder="1" applyAlignment="1">
      <alignment horizontal="right" vertical="top" wrapText="1"/>
    </xf>
    <xf numFmtId="0" fontId="22" fillId="21" borderId="50" xfId="0" applyFont="1" applyFill="1" applyBorder="1" applyAlignment="1">
      <alignment horizontal="right"/>
    </xf>
    <xf numFmtId="0" fontId="22" fillId="21" borderId="50" xfId="0" applyNumberFormat="1" applyFont="1" applyFill="1" applyBorder="1" applyAlignment="1">
      <alignment horizontal="right"/>
    </xf>
    <xf numFmtId="0" fontId="39" fillId="17" borderId="7" xfId="0" applyFont="1" applyFill="1" applyBorder="1" applyAlignment="1">
      <alignment horizontal="center" vertical="top" wrapText="1"/>
    </xf>
    <xf numFmtId="0" fontId="16" fillId="0" borderId="0" xfId="0" applyFont="1" applyBorder="1" applyAlignment="1"/>
    <xf numFmtId="164" fontId="17" fillId="0" borderId="0" xfId="1" applyFont="1" applyBorder="1" applyAlignment="1">
      <alignment horizontal="center" vertical="center" wrapText="1"/>
    </xf>
    <xf numFmtId="164" fontId="17" fillId="0" borderId="0" xfId="1" applyFont="1" applyBorder="1" applyAlignment="1">
      <alignment vertical="center" wrapText="1"/>
    </xf>
    <xf numFmtId="164" fontId="17" fillId="0" borderId="0" xfId="1" applyFont="1" applyBorder="1" applyAlignment="1">
      <alignment vertical="center"/>
    </xf>
    <xf numFmtId="0" fontId="43" fillId="0" borderId="0" xfId="0" applyFont="1"/>
    <xf numFmtId="0" fontId="44" fillId="0" borderId="0" xfId="0" applyFont="1" applyFill="1" applyBorder="1" applyAlignment="1">
      <alignment vertical="top" wrapText="1"/>
    </xf>
    <xf numFmtId="0" fontId="44" fillId="25" borderId="1" xfId="0" applyFont="1" applyFill="1" applyBorder="1"/>
    <xf numFmtId="0" fontId="44" fillId="25" borderId="1" xfId="0" applyFont="1" applyFill="1" applyBorder="1" applyAlignment="1"/>
    <xf numFmtId="0" fontId="44" fillId="25" borderId="1" xfId="3" applyFont="1" applyFill="1" applyBorder="1"/>
    <xf numFmtId="0" fontId="0" fillId="0" borderId="0" xfId="0" quotePrefix="1" applyBorder="1"/>
    <xf numFmtId="0" fontId="42" fillId="0" borderId="0" xfId="0" applyFont="1" applyFill="1"/>
    <xf numFmtId="0" fontId="42" fillId="0" borderId="0" xfId="0" applyFont="1" applyFill="1" applyBorder="1" applyAlignment="1">
      <alignment vertical="center"/>
    </xf>
    <xf numFmtId="0" fontId="41" fillId="17" borderId="5" xfId="0" applyFont="1" applyFill="1" applyBorder="1" applyAlignment="1">
      <alignment vertical="center"/>
    </xf>
    <xf numFmtId="0" fontId="41" fillId="17" borderId="6" xfId="0" applyFont="1" applyFill="1" applyBorder="1" applyAlignment="1">
      <alignment horizontal="left" vertical="top" wrapText="1"/>
    </xf>
    <xf numFmtId="0" fontId="41" fillId="17" borderId="6" xfId="0" applyFont="1" applyFill="1" applyBorder="1" applyAlignment="1">
      <alignment horizontal="center" vertical="top" wrapText="1"/>
    </xf>
    <xf numFmtId="168" fontId="41" fillId="17" borderId="7" xfId="0" applyNumberFormat="1" applyFont="1" applyFill="1" applyBorder="1" applyAlignment="1">
      <alignment horizontal="center" vertical="top" wrapText="1"/>
    </xf>
    <xf numFmtId="0" fontId="41" fillId="17" borderId="8" xfId="0" applyFont="1" applyFill="1" applyBorder="1" applyAlignment="1">
      <alignment horizontal="center" vertical="center"/>
    </xf>
    <xf numFmtId="0" fontId="37" fillId="17" borderId="0" xfId="0" applyFont="1" applyFill="1" applyBorder="1"/>
    <xf numFmtId="0" fontId="41" fillId="17" borderId="0" xfId="0" applyFont="1" applyFill="1" applyBorder="1" applyAlignment="1">
      <alignment horizontal="center" vertical="center"/>
    </xf>
    <xf numFmtId="0" fontId="41" fillId="17" borderId="10" xfId="0" applyFont="1" applyFill="1" applyBorder="1" applyAlignment="1">
      <alignment horizontal="center" vertical="center"/>
    </xf>
    <xf numFmtId="0" fontId="41" fillId="17" borderId="8" xfId="0" applyFont="1" applyFill="1" applyBorder="1" applyAlignment="1">
      <alignment vertical="center"/>
    </xf>
    <xf numFmtId="0" fontId="41" fillId="17" borderId="1" xfId="0" applyFont="1" applyFill="1" applyBorder="1" applyAlignment="1">
      <alignment horizontal="left" vertical="top" wrapText="1"/>
    </xf>
    <xf numFmtId="0" fontId="37" fillId="17" borderId="10" xfId="0" applyFont="1" applyFill="1" applyBorder="1"/>
    <xf numFmtId="0" fontId="41" fillId="17" borderId="0" xfId="0" applyFont="1" applyFill="1" applyBorder="1" applyAlignment="1">
      <alignment horizontal="left" vertical="top" wrapText="1"/>
    </xf>
    <xf numFmtId="0" fontId="37" fillId="17" borderId="0" xfId="0" applyFont="1" applyFill="1" applyBorder="1" applyAlignment="1">
      <alignment horizontal="center" vertical="top" wrapText="1"/>
    </xf>
    <xf numFmtId="0" fontId="41" fillId="17" borderId="1" xfId="0" applyFont="1" applyFill="1" applyBorder="1" applyAlignment="1">
      <alignment vertical="top" wrapText="1"/>
    </xf>
    <xf numFmtId="0" fontId="41" fillId="17" borderId="0" xfId="0" applyFont="1" applyFill="1" applyBorder="1" applyAlignment="1">
      <alignment vertical="top" wrapText="1"/>
    </xf>
    <xf numFmtId="0" fontId="41" fillId="17" borderId="51" xfId="0" applyFont="1" applyFill="1" applyBorder="1" applyAlignment="1">
      <alignment vertical="top" wrapText="1"/>
    </xf>
    <xf numFmtId="0" fontId="41" fillId="17" borderId="0" xfId="0" applyFont="1" applyFill="1" applyBorder="1" applyAlignment="1">
      <alignment horizontal="center" vertical="top" wrapText="1"/>
    </xf>
    <xf numFmtId="0" fontId="37" fillId="17" borderId="0" xfId="0" applyFont="1" applyFill="1" applyBorder="1" applyAlignment="1">
      <alignment horizontal="left" vertical="top" wrapText="1"/>
    </xf>
    <xf numFmtId="0" fontId="37" fillId="17" borderId="0" xfId="0" applyFont="1" applyFill="1" applyBorder="1" applyAlignment="1">
      <alignment vertical="top" wrapText="1"/>
    </xf>
    <xf numFmtId="0" fontId="37" fillId="17" borderId="0" xfId="0" applyFont="1" applyFill="1" applyBorder="1" applyAlignment="1">
      <alignment vertical="center" wrapText="1"/>
    </xf>
    <xf numFmtId="0" fontId="37" fillId="17" borderId="10" xfId="0" applyFont="1" applyFill="1" applyBorder="1" applyAlignment="1">
      <alignment horizontal="left" vertical="center" wrapText="1"/>
    </xf>
    <xf numFmtId="0" fontId="37" fillId="17" borderId="1" xfId="0" applyFont="1" applyFill="1" applyBorder="1" applyAlignment="1">
      <alignment vertical="top" wrapText="1"/>
    </xf>
    <xf numFmtId="0" fontId="41" fillId="17" borderId="13" xfId="0" applyFont="1" applyFill="1" applyBorder="1" applyAlignment="1">
      <alignment vertical="center"/>
    </xf>
    <xf numFmtId="0" fontId="37" fillId="17" borderId="19" xfId="0" applyFont="1" applyFill="1" applyBorder="1" applyAlignment="1">
      <alignment vertical="top" wrapText="1"/>
    </xf>
    <xf numFmtId="0" fontId="37" fillId="17" borderId="6" xfId="0" applyFont="1" applyFill="1" applyBorder="1" applyAlignment="1">
      <alignment vertical="top" wrapText="1"/>
    </xf>
    <xf numFmtId="0" fontId="37" fillId="17" borderId="7" xfId="0" applyFont="1" applyFill="1" applyBorder="1" applyAlignment="1">
      <alignment vertical="top" wrapText="1"/>
    </xf>
    <xf numFmtId="0" fontId="37" fillId="17" borderId="8" xfId="0" applyFont="1" applyFill="1" applyBorder="1"/>
    <xf numFmtId="0" fontId="37" fillId="17" borderId="10" xfId="0" applyFont="1" applyFill="1" applyBorder="1" applyAlignment="1">
      <alignment vertical="top" wrapText="1"/>
    </xf>
    <xf numFmtId="0" fontId="37" fillId="17" borderId="0" xfId="0" quotePrefix="1" applyFont="1" applyFill="1" applyBorder="1" applyAlignment="1">
      <alignment vertical="top" wrapText="1"/>
    </xf>
    <xf numFmtId="0" fontId="37" fillId="17" borderId="1" xfId="0" applyFont="1" applyFill="1" applyBorder="1" applyAlignment="1">
      <alignment horizontal="center" vertical="top" wrapText="1"/>
    </xf>
    <xf numFmtId="0" fontId="37" fillId="17" borderId="0" xfId="0" applyFont="1" applyFill="1" applyBorder="1" applyAlignment="1"/>
    <xf numFmtId="0" fontId="37" fillId="17" borderId="10" xfId="0" applyFont="1" applyFill="1" applyBorder="1" applyAlignment="1"/>
    <xf numFmtId="0" fontId="41" fillId="17" borderId="0" xfId="0" applyFont="1" applyFill="1" applyBorder="1" applyAlignment="1">
      <alignment horizontal="right" vertical="top" wrapText="1"/>
    </xf>
    <xf numFmtId="0" fontId="41" fillId="17" borderId="0" xfId="0" applyFont="1" applyFill="1" applyBorder="1" applyAlignment="1">
      <alignment vertical="top"/>
    </xf>
    <xf numFmtId="0" fontId="37" fillId="17" borderId="13" xfId="0" applyFont="1" applyFill="1" applyBorder="1"/>
    <xf numFmtId="0" fontId="37" fillId="17" borderId="14" xfId="0" applyFont="1" applyFill="1" applyBorder="1" applyAlignment="1">
      <alignment vertical="top" wrapText="1"/>
    </xf>
    <xf numFmtId="0" fontId="37" fillId="17" borderId="14" xfId="0" applyFont="1" applyFill="1" applyBorder="1" applyAlignment="1">
      <alignment horizontal="left" vertical="top" wrapText="1"/>
    </xf>
    <xf numFmtId="0" fontId="37" fillId="17" borderId="15" xfId="0" applyFont="1" applyFill="1" applyBorder="1" applyAlignment="1">
      <alignment vertical="top" wrapText="1"/>
    </xf>
    <xf numFmtId="0" fontId="49" fillId="17" borderId="10" xfId="0" applyFont="1" applyFill="1" applyBorder="1" applyAlignment="1">
      <alignment vertical="top" wrapText="1"/>
    </xf>
    <xf numFmtId="0" fontId="41" fillId="17" borderId="18" xfId="0" applyFont="1" applyFill="1" applyBorder="1" applyAlignment="1">
      <alignment vertical="center"/>
    </xf>
    <xf numFmtId="0" fontId="37" fillId="17" borderId="28" xfId="0" applyFont="1" applyFill="1" applyBorder="1" applyAlignment="1">
      <alignment horizontal="center" vertical="top" wrapText="1"/>
    </xf>
    <xf numFmtId="0" fontId="37" fillId="17" borderId="9" xfId="0" applyFont="1" applyFill="1" applyBorder="1" applyAlignment="1">
      <alignment vertical="top" wrapText="1"/>
    </xf>
    <xf numFmtId="0" fontId="37" fillId="17" borderId="3" xfId="0" applyFont="1" applyFill="1" applyBorder="1" applyAlignment="1">
      <alignment vertical="center" wrapText="1"/>
    </xf>
    <xf numFmtId="171" fontId="49" fillId="17" borderId="33" xfId="1" applyNumberFormat="1" applyFont="1" applyFill="1" applyBorder="1" applyAlignment="1">
      <alignment vertical="top" wrapText="1"/>
    </xf>
    <xf numFmtId="0" fontId="41" fillId="25" borderId="0" xfId="0" applyFont="1" applyFill="1" applyBorder="1" applyAlignment="1">
      <alignment horizontal="right" vertical="top" wrapText="1"/>
    </xf>
    <xf numFmtId="0" fontId="41" fillId="25" borderId="0" xfId="0" applyFont="1" applyFill="1" applyBorder="1" applyAlignment="1">
      <alignment vertical="top"/>
    </xf>
    <xf numFmtId="0" fontId="37" fillId="25" borderId="0" xfId="0" applyFont="1" applyFill="1" applyBorder="1" applyAlignment="1">
      <alignment horizontal="center" vertical="top"/>
    </xf>
    <xf numFmtId="164" fontId="37" fillId="25" borderId="10" xfId="1" applyFont="1" applyFill="1" applyBorder="1" applyAlignment="1">
      <alignment vertical="top"/>
    </xf>
    <xf numFmtId="0" fontId="41" fillId="17" borderId="14" xfId="0" applyFont="1" applyFill="1" applyBorder="1" applyAlignment="1">
      <alignment vertical="top" wrapText="1"/>
    </xf>
    <xf numFmtId="0" fontId="37" fillId="17" borderId="14" xfId="0" applyFont="1" applyFill="1" applyBorder="1"/>
    <xf numFmtId="0" fontId="37" fillId="17" borderId="15" xfId="0" applyFont="1" applyFill="1" applyBorder="1"/>
    <xf numFmtId="0" fontId="37" fillId="0" borderId="0" xfId="0" applyFont="1" applyFill="1" applyBorder="1" applyAlignment="1">
      <alignment vertical="top" wrapText="1"/>
    </xf>
    <xf numFmtId="0" fontId="37" fillId="17" borderId="6" xfId="0" applyFont="1" applyFill="1" applyBorder="1"/>
    <xf numFmtId="0" fontId="37" fillId="17" borderId="7" xfId="0" applyFont="1" applyFill="1" applyBorder="1"/>
    <xf numFmtId="0" fontId="37" fillId="17" borderId="10" xfId="0" applyFont="1" applyFill="1" applyBorder="1" applyAlignment="1">
      <alignment horizontal="left" vertical="top" wrapText="1"/>
    </xf>
    <xf numFmtId="0" fontId="37" fillId="17" borderId="8" xfId="0" applyFont="1" applyFill="1" applyBorder="1" applyAlignment="1">
      <alignment horizontal="left" vertical="top" wrapText="1"/>
    </xf>
    <xf numFmtId="0" fontId="37" fillId="17" borderId="3" xfId="0" applyFont="1" applyFill="1" applyBorder="1" applyAlignment="1">
      <alignment horizontal="left" vertical="top" wrapText="1"/>
    </xf>
    <xf numFmtId="0" fontId="37" fillId="17" borderId="33" xfId="0" applyFont="1" applyFill="1" applyBorder="1" applyAlignment="1">
      <alignment horizontal="left" vertical="top" wrapText="1"/>
    </xf>
    <xf numFmtId="171" fontId="49" fillId="17" borderId="10" xfId="1" applyNumberFormat="1" applyFont="1" applyFill="1" applyBorder="1" applyAlignment="1">
      <alignment vertical="top" wrapText="1"/>
    </xf>
    <xf numFmtId="171" fontId="37" fillId="17" borderId="10" xfId="1" applyNumberFormat="1" applyFont="1" applyFill="1" applyBorder="1" applyAlignment="1">
      <alignment vertical="top" wrapText="1"/>
    </xf>
    <xf numFmtId="0" fontId="37" fillId="17" borderId="9" xfId="0" applyFont="1" applyFill="1" applyBorder="1" applyAlignment="1">
      <alignment horizontal="center" vertical="top" wrapText="1"/>
    </xf>
    <xf numFmtId="0" fontId="37" fillId="17" borderId="12" xfId="0" applyFont="1" applyFill="1" applyBorder="1" applyAlignment="1">
      <alignment vertical="top" wrapText="1"/>
    </xf>
    <xf numFmtId="0" fontId="37" fillId="17" borderId="54" xfId="0" applyFont="1" applyFill="1" applyBorder="1" applyAlignment="1">
      <alignment vertical="top" wrapText="1"/>
    </xf>
    <xf numFmtId="0" fontId="49" fillId="17" borderId="55" xfId="0" applyFont="1" applyFill="1" applyBorder="1" applyAlignment="1">
      <alignment horizontal="left" vertical="top" wrapText="1"/>
    </xf>
    <xf numFmtId="0" fontId="41" fillId="17" borderId="8" xfId="0" applyFont="1" applyFill="1" applyBorder="1" applyAlignment="1">
      <alignment horizontal="left" vertical="center"/>
    </xf>
    <xf numFmtId="0" fontId="49" fillId="17" borderId="33" xfId="0" applyFont="1" applyFill="1" applyBorder="1" applyAlignment="1">
      <alignment horizontal="left" vertical="top" wrapText="1"/>
    </xf>
    <xf numFmtId="0" fontId="37" fillId="17" borderId="46" xfId="0" applyFont="1" applyFill="1" applyBorder="1" applyAlignment="1">
      <alignment horizontal="left" vertical="top" wrapText="1"/>
    </xf>
    <xf numFmtId="0" fontId="49" fillId="17" borderId="9" xfId="0" applyFont="1" applyFill="1" applyBorder="1" applyAlignment="1">
      <alignment horizontal="left" vertical="top" wrapText="1"/>
    </xf>
    <xf numFmtId="0" fontId="37" fillId="17" borderId="2" xfId="0" applyFont="1" applyFill="1" applyBorder="1" applyAlignment="1">
      <alignment horizontal="left" vertical="top" wrapText="1"/>
    </xf>
    <xf numFmtId="0" fontId="37" fillId="17" borderId="9" xfId="0" applyFont="1" applyFill="1" applyBorder="1" applyAlignment="1">
      <alignment horizontal="left" vertical="top" wrapText="1"/>
    </xf>
    <xf numFmtId="0" fontId="37" fillId="25" borderId="0" xfId="0" applyFont="1" applyFill="1" applyBorder="1" applyAlignment="1">
      <alignment vertical="top" wrapText="1"/>
    </xf>
    <xf numFmtId="0" fontId="37" fillId="25" borderId="10" xfId="0" applyFont="1" applyFill="1" applyBorder="1"/>
    <xf numFmtId="0" fontId="41" fillId="17" borderId="10" xfId="0" applyFont="1" applyFill="1" applyBorder="1" applyAlignment="1">
      <alignment vertical="top"/>
    </xf>
    <xf numFmtId="0" fontId="37" fillId="17" borderId="28" xfId="0" applyFont="1" applyFill="1" applyBorder="1" applyAlignment="1">
      <alignment vertical="top" wrapText="1"/>
    </xf>
    <xf numFmtId="0" fontId="49" fillId="17" borderId="9" xfId="0" applyFont="1" applyFill="1" applyBorder="1" applyAlignment="1">
      <alignment horizontal="center" vertical="top" wrapText="1"/>
    </xf>
    <xf numFmtId="0" fontId="37" fillId="17" borderId="3" xfId="0" applyFont="1" applyFill="1" applyBorder="1" applyAlignment="1">
      <alignment vertical="top" wrapText="1"/>
    </xf>
    <xf numFmtId="0" fontId="37" fillId="17" borderId="35" xfId="0" applyFont="1" applyFill="1" applyBorder="1" applyAlignment="1">
      <alignment vertical="top" wrapText="1"/>
    </xf>
    <xf numFmtId="0" fontId="37" fillId="17" borderId="46" xfId="0" applyFont="1" applyFill="1" applyBorder="1" applyAlignment="1">
      <alignment vertical="top" wrapText="1"/>
    </xf>
    <xf numFmtId="0" fontId="37" fillId="17" borderId="3" xfId="0" applyFont="1" applyFill="1" applyBorder="1" applyAlignment="1">
      <alignment horizontal="center" vertical="top" wrapText="1"/>
    </xf>
    <xf numFmtId="0" fontId="49" fillId="17" borderId="33" xfId="0" applyFont="1" applyFill="1" applyBorder="1" applyAlignment="1">
      <alignment vertical="top" wrapText="1"/>
    </xf>
    <xf numFmtId="0" fontId="41" fillId="18" borderId="0" xfId="0" applyFont="1" applyFill="1" applyBorder="1" applyAlignment="1">
      <alignment horizontal="right" vertical="top" wrapText="1"/>
    </xf>
    <xf numFmtId="0" fontId="41" fillId="18" borderId="0" xfId="0" applyFont="1" applyFill="1" applyBorder="1" applyAlignment="1">
      <alignment vertical="top"/>
    </xf>
    <xf numFmtId="0" fontId="37" fillId="18" borderId="0" xfId="0" applyFont="1" applyFill="1" applyBorder="1"/>
    <xf numFmtId="0" fontId="37" fillId="18" borderId="10" xfId="0" applyFont="1" applyFill="1" applyBorder="1"/>
    <xf numFmtId="0" fontId="37" fillId="0" borderId="0" xfId="0" applyFont="1" applyFill="1"/>
    <xf numFmtId="0" fontId="37" fillId="17" borderId="43" xfId="0" applyFont="1" applyFill="1" applyBorder="1" applyAlignment="1">
      <alignment horizontal="center" vertical="top" wrapText="1"/>
    </xf>
    <xf numFmtId="0" fontId="37" fillId="17" borderId="14" xfId="0" applyFont="1" applyFill="1" applyBorder="1" applyAlignment="1">
      <alignment horizontal="center" vertical="top" wrapText="1"/>
    </xf>
    <xf numFmtId="0" fontId="37" fillId="0" borderId="0" xfId="0" applyFont="1" applyFill="1" applyBorder="1" applyAlignment="1">
      <alignment horizontal="left" vertical="top" wrapText="1"/>
    </xf>
    <xf numFmtId="0" fontId="37" fillId="0" borderId="0" xfId="0" applyFont="1" applyFill="1" applyBorder="1" applyAlignment="1">
      <alignment horizontal="center" vertical="top" wrapText="1"/>
    </xf>
    <xf numFmtId="0" fontId="37" fillId="17" borderId="6" xfId="0" applyFont="1" applyFill="1" applyBorder="1" applyAlignment="1">
      <alignment horizontal="center" vertical="top" wrapText="1"/>
    </xf>
    <xf numFmtId="0" fontId="37" fillId="17" borderId="7" xfId="0" applyFont="1" applyFill="1" applyBorder="1" applyAlignment="1">
      <alignment horizontal="left" vertical="top" wrapText="1"/>
    </xf>
    <xf numFmtId="171" fontId="37" fillId="17" borderId="42" xfId="1" applyNumberFormat="1" applyFont="1" applyFill="1" applyBorder="1" applyAlignment="1">
      <alignment horizontal="center" vertical="center" wrapText="1"/>
    </xf>
    <xf numFmtId="0" fontId="37" fillId="17" borderId="33" xfId="0" applyFont="1" applyFill="1" applyBorder="1" applyAlignment="1">
      <alignment vertical="top" wrapText="1"/>
    </xf>
    <xf numFmtId="170" fontId="37" fillId="17" borderId="42" xfId="1" applyNumberFormat="1" applyFont="1" applyFill="1" applyBorder="1" applyAlignment="1">
      <alignment horizontal="center" vertical="center" wrapText="1"/>
    </xf>
    <xf numFmtId="0" fontId="37" fillId="17" borderId="1" xfId="0" applyFont="1" applyFill="1" applyBorder="1" applyAlignment="1">
      <alignment horizontal="left" vertical="top" wrapText="1"/>
    </xf>
    <xf numFmtId="170" fontId="37" fillId="17" borderId="1" xfId="1" applyNumberFormat="1" applyFont="1" applyFill="1" applyBorder="1" applyAlignment="1">
      <alignment horizontal="center" vertical="center" wrapText="1"/>
    </xf>
    <xf numFmtId="0" fontId="49" fillId="0" borderId="15" xfId="0" applyFont="1" applyFill="1" applyBorder="1" applyAlignment="1">
      <alignment vertical="top" wrapText="1"/>
    </xf>
    <xf numFmtId="0" fontId="50" fillId="0" borderId="0" xfId="0" applyFont="1" applyFill="1" applyBorder="1" applyAlignment="1">
      <alignment horizontal="left" vertical="top" wrapText="1"/>
    </xf>
    <xf numFmtId="0" fontId="42" fillId="0" borderId="0" xfId="0" applyFont="1" applyFill="1" applyBorder="1" applyAlignment="1">
      <alignment horizontal="center" vertical="center"/>
    </xf>
    <xf numFmtId="0" fontId="44" fillId="0" borderId="0" xfId="0" applyFont="1" applyFill="1" applyAlignment="1">
      <alignment vertical="top" wrapText="1"/>
    </xf>
    <xf numFmtId="0" fontId="44" fillId="0" borderId="0" xfId="0" applyFont="1" applyFill="1" applyAlignment="1">
      <alignment horizontal="left" vertical="top" wrapText="1"/>
    </xf>
    <xf numFmtId="0" fontId="44" fillId="0" borderId="0" xfId="0" applyFont="1"/>
    <xf numFmtId="0" fontId="44" fillId="0" borderId="0" xfId="0" applyFont="1" applyFill="1" applyBorder="1" applyAlignment="1">
      <alignment horizontal="left" vertical="center" wrapText="1"/>
    </xf>
    <xf numFmtId="0" fontId="44" fillId="0" borderId="0" xfId="0" applyFont="1" applyFill="1" applyBorder="1"/>
    <xf numFmtId="0" fontId="44" fillId="0" borderId="0" xfId="0" applyFont="1" applyFill="1" applyBorder="1" applyAlignment="1">
      <alignment vertical="center"/>
    </xf>
    <xf numFmtId="0" fontId="44" fillId="0" borderId="0" xfId="0" applyFont="1" applyFill="1"/>
    <xf numFmtId="0" fontId="41" fillId="25" borderId="0" xfId="0" applyFont="1" applyFill="1" applyBorder="1" applyAlignment="1">
      <alignment vertical="center"/>
    </xf>
    <xf numFmtId="0" fontId="41" fillId="25" borderId="0" xfId="0" applyFont="1" applyFill="1" applyBorder="1" applyAlignment="1">
      <alignment vertical="top" wrapText="1"/>
    </xf>
    <xf numFmtId="0" fontId="37" fillId="25" borderId="0" xfId="0" applyFont="1" applyFill="1" applyBorder="1"/>
    <xf numFmtId="0" fontId="39" fillId="25" borderId="0" xfId="0" applyFont="1" applyFill="1" applyBorder="1" applyAlignment="1">
      <alignment horizontal="center" vertical="center"/>
    </xf>
    <xf numFmtId="0" fontId="38" fillId="25" borderId="0" xfId="0" applyFont="1" applyFill="1"/>
    <xf numFmtId="0" fontId="38" fillId="25" borderId="0" xfId="0" applyFont="1" applyFill="1" applyBorder="1"/>
    <xf numFmtId="0" fontId="37" fillId="25" borderId="0" xfId="0" applyFont="1" applyFill="1" applyBorder="1" applyAlignment="1">
      <alignment horizontal="left" vertical="top" wrapText="1"/>
    </xf>
    <xf numFmtId="0" fontId="37" fillId="25" borderId="0" xfId="0" applyFont="1" applyFill="1" applyBorder="1" applyAlignment="1">
      <alignment horizontal="center" vertical="top" wrapText="1"/>
    </xf>
    <xf numFmtId="0" fontId="45" fillId="0" borderId="1" xfId="0" applyFont="1" applyBorder="1" applyAlignment="1">
      <alignment horizontal="center"/>
    </xf>
    <xf numFmtId="0" fontId="46" fillId="0" borderId="1" xfId="0" applyFont="1" applyBorder="1"/>
    <xf numFmtId="0" fontId="46" fillId="0" borderId="1" xfId="0" applyFont="1" applyBorder="1" applyAlignment="1">
      <alignment wrapText="1"/>
    </xf>
    <xf numFmtId="49" fontId="45" fillId="0" borderId="1" xfId="0" applyNumberFormat="1" applyFont="1" applyBorder="1" applyAlignment="1">
      <alignment horizontal="center"/>
    </xf>
    <xf numFmtId="49" fontId="44" fillId="0" borderId="1" xfId="1" applyNumberFormat="1" applyFont="1" applyBorder="1"/>
    <xf numFmtId="49" fontId="44" fillId="0" borderId="1" xfId="0" applyNumberFormat="1" applyFont="1" applyBorder="1"/>
    <xf numFmtId="0" fontId="44" fillId="25" borderId="1" xfId="0" applyFont="1" applyFill="1" applyBorder="1" applyAlignment="1">
      <alignment wrapText="1"/>
    </xf>
    <xf numFmtId="0" fontId="16" fillId="25" borderId="0" xfId="0" applyFont="1" applyFill="1" applyBorder="1" applyAlignment="1">
      <alignment vertical="center" wrapText="1"/>
    </xf>
    <xf numFmtId="0" fontId="48" fillId="0" borderId="0" xfId="0" applyFont="1"/>
    <xf numFmtId="0" fontId="51" fillId="0" borderId="1" xfId="0" applyFont="1" applyBorder="1"/>
    <xf numFmtId="0" fontId="51" fillId="0" borderId="1" xfId="0" applyFont="1" applyFill="1" applyBorder="1" applyAlignment="1"/>
    <xf numFmtId="49" fontId="51" fillId="0" borderId="1" xfId="0" applyNumberFormat="1" applyFont="1" applyBorder="1" applyAlignment="1">
      <alignment horizontal="center"/>
    </xf>
    <xf numFmtId="0" fontId="51" fillId="0" borderId="1" xfId="0" applyFont="1" applyBorder="1" applyAlignment="1">
      <alignment horizontal="left"/>
    </xf>
    <xf numFmtId="0" fontId="51" fillId="0" borderId="1" xfId="0" quotePrefix="1" applyFont="1" applyBorder="1" applyAlignment="1">
      <alignment horizontal="center"/>
    </xf>
    <xf numFmtId="49" fontId="47" fillId="0" borderId="1" xfId="0" applyNumberFormat="1" applyFont="1" applyBorder="1" applyAlignment="1">
      <alignment horizontal="center"/>
    </xf>
    <xf numFmtId="49" fontId="48" fillId="0" borderId="0" xfId="0" applyNumberFormat="1" applyFont="1"/>
    <xf numFmtId="0" fontId="44" fillId="25" borderId="1" xfId="0" applyFont="1" applyFill="1" applyBorder="1" applyAlignment="1">
      <alignment vertical="top" wrapText="1"/>
    </xf>
    <xf numFmtId="49" fontId="44" fillId="0" borderId="1" xfId="0" applyNumberFormat="1" applyFont="1" applyBorder="1" applyAlignment="1">
      <alignment vertical="top"/>
    </xf>
    <xf numFmtId="0" fontId="44" fillId="25" borderId="1" xfId="0" applyFont="1" applyFill="1" applyBorder="1" applyAlignment="1">
      <alignment vertical="top"/>
    </xf>
    <xf numFmtId="0" fontId="48" fillId="0" borderId="0" xfId="0" applyFont="1" applyAlignment="1">
      <alignment horizontal="left"/>
    </xf>
    <xf numFmtId="0" fontId="52" fillId="13" borderId="1" xfId="0" applyFont="1" applyFill="1" applyBorder="1" applyAlignment="1">
      <alignment horizontal="center" vertical="center" wrapText="1"/>
    </xf>
    <xf numFmtId="0" fontId="52" fillId="0" borderId="1" xfId="0" applyFont="1" applyBorder="1" applyAlignment="1">
      <alignment horizontal="center" vertical="center" wrapText="1"/>
    </xf>
    <xf numFmtId="164" fontId="52" fillId="0" borderId="1" xfId="0" applyNumberFormat="1" applyFont="1" applyBorder="1" applyAlignment="1">
      <alignment horizontal="center" vertical="center" wrapText="1"/>
    </xf>
    <xf numFmtId="164" fontId="53" fillId="0" borderId="1" xfId="1" applyFont="1" applyBorder="1" applyAlignment="1">
      <alignment horizontal="center" vertical="center" wrapText="1"/>
    </xf>
    <xf numFmtId="164" fontId="53" fillId="0" borderId="3" xfId="1" applyFont="1" applyBorder="1" applyAlignment="1">
      <alignment horizontal="center" vertical="center" wrapText="1"/>
    </xf>
    <xf numFmtId="164" fontId="53" fillId="0" borderId="1" xfId="1" applyFont="1" applyBorder="1" applyAlignment="1">
      <alignment vertical="center" wrapText="1"/>
    </xf>
    <xf numFmtId="164" fontId="53" fillId="0" borderId="1" xfId="1" applyFont="1" applyBorder="1" applyAlignment="1">
      <alignment vertical="center"/>
    </xf>
    <xf numFmtId="164" fontId="53" fillId="0" borderId="3" xfId="1" applyFont="1" applyBorder="1" applyAlignment="1">
      <alignment vertical="center"/>
    </xf>
    <xf numFmtId="0" fontId="42" fillId="0" borderId="0" xfId="0" applyFont="1" applyFill="1" applyAlignment="1">
      <alignment horizontal="center"/>
    </xf>
    <xf numFmtId="0" fontId="42" fillId="0" borderId="0" xfId="0" applyFont="1" applyFill="1" applyAlignment="1">
      <alignment horizontal="left"/>
    </xf>
    <xf numFmtId="0" fontId="51" fillId="0" borderId="0" xfId="0" applyFont="1"/>
    <xf numFmtId="0" fontId="37" fillId="17" borderId="5" xfId="0" applyFont="1" applyFill="1" applyBorder="1" applyAlignment="1">
      <alignment vertical="top" wrapText="1"/>
    </xf>
    <xf numFmtId="164" fontId="37" fillId="17" borderId="56" xfId="1" applyFont="1" applyFill="1" applyBorder="1" applyAlignment="1">
      <alignment vertical="top" wrapText="1"/>
    </xf>
    <xf numFmtId="0" fontId="49" fillId="17" borderId="36" xfId="0" applyFont="1" applyFill="1" applyBorder="1" applyAlignment="1">
      <alignment horizontal="center" vertical="top" wrapText="1"/>
    </xf>
    <xf numFmtId="0" fontId="49" fillId="17" borderId="1" xfId="0" applyFont="1" applyFill="1" applyBorder="1" applyAlignment="1">
      <alignment horizontal="center" vertical="top" wrapText="1"/>
    </xf>
    <xf numFmtId="0" fontId="37" fillId="0" borderId="1" xfId="0" applyFont="1" applyFill="1" applyBorder="1" applyAlignment="1" applyProtection="1">
      <alignment horizontal="center" vertical="top" wrapText="1"/>
      <protection locked="0"/>
    </xf>
    <xf numFmtId="0" fontId="41" fillId="0" borderId="1" xfId="0" applyFont="1" applyFill="1" applyBorder="1" applyAlignment="1" applyProtection="1">
      <alignment horizontal="center" vertical="top" wrapText="1"/>
      <protection locked="0"/>
    </xf>
    <xf numFmtId="0" fontId="37" fillId="0" borderId="51" xfId="0" applyFont="1" applyFill="1" applyBorder="1" applyAlignment="1" applyProtection="1">
      <alignment horizontal="center"/>
      <protection locked="0"/>
    </xf>
    <xf numFmtId="0" fontId="41" fillId="25" borderId="21" xfId="0" applyFont="1" applyFill="1" applyBorder="1" applyAlignment="1" applyProtection="1">
      <alignment vertical="top" wrapText="1"/>
      <protection locked="0"/>
    </xf>
    <xf numFmtId="0" fontId="37" fillId="0" borderId="41" xfId="0" applyFont="1" applyFill="1" applyBorder="1" applyAlignment="1" applyProtection="1">
      <alignment horizontal="left" vertical="top" wrapText="1"/>
      <protection locked="0"/>
    </xf>
    <xf numFmtId="0" fontId="37" fillId="25" borderId="53" xfId="0" applyFont="1" applyFill="1" applyBorder="1" applyAlignment="1" applyProtection="1">
      <alignment horizontal="left" vertical="top" wrapText="1"/>
      <protection locked="0"/>
    </xf>
    <xf numFmtId="0" fontId="37" fillId="25" borderId="42" xfId="0" applyFont="1" applyFill="1" applyBorder="1" applyAlignment="1" applyProtection="1">
      <alignment horizontal="left" vertical="center" wrapText="1"/>
      <protection locked="0"/>
    </xf>
    <xf numFmtId="0" fontId="37" fillId="25" borderId="42" xfId="0" applyFont="1" applyFill="1" applyBorder="1" applyAlignment="1" applyProtection="1">
      <alignment horizontal="left" vertical="top" wrapText="1"/>
      <protection locked="0"/>
    </xf>
    <xf numFmtId="0" fontId="37" fillId="25" borderId="42" xfId="0" applyFont="1" applyFill="1" applyBorder="1" applyAlignment="1" applyProtection="1">
      <alignment horizontal="center" vertical="top" wrapText="1"/>
      <protection locked="0"/>
    </xf>
    <xf numFmtId="0" fontId="37" fillId="25" borderId="47" xfId="0" applyFont="1" applyFill="1" applyBorder="1" applyAlignment="1" applyProtection="1">
      <alignment horizontal="left" vertical="top" wrapText="1"/>
      <protection locked="0"/>
    </xf>
    <xf numFmtId="164" fontId="37" fillId="25" borderId="1" xfId="1" applyFont="1" applyFill="1" applyBorder="1" applyAlignment="1" applyProtection="1">
      <alignment vertical="top" wrapText="1"/>
      <protection locked="0"/>
    </xf>
    <xf numFmtId="0" fontId="37" fillId="25" borderId="1" xfId="0" applyFont="1" applyFill="1" applyBorder="1" applyAlignment="1" applyProtection="1">
      <alignment horizontal="center" vertical="top" wrapText="1"/>
      <protection locked="0"/>
    </xf>
    <xf numFmtId="0" fontId="37" fillId="25" borderId="1" xfId="0" applyFont="1" applyFill="1" applyBorder="1" applyAlignment="1" applyProtection="1">
      <alignment vertical="top" wrapText="1"/>
      <protection locked="0"/>
    </xf>
    <xf numFmtId="168" fontId="37" fillId="25" borderId="42" xfId="0" applyNumberFormat="1" applyFont="1" applyFill="1" applyBorder="1" applyAlignment="1" applyProtection="1">
      <alignment horizontal="center" vertical="top" wrapText="1"/>
      <protection locked="0"/>
    </xf>
    <xf numFmtId="14" fontId="37" fillId="0" borderId="42" xfId="1" applyNumberFormat="1" applyFont="1" applyFill="1" applyBorder="1" applyAlignment="1" applyProtection="1">
      <alignment horizontal="center" vertical="top" wrapText="1"/>
      <protection locked="0"/>
    </xf>
    <xf numFmtId="164" fontId="37" fillId="0" borderId="42" xfId="1" applyFont="1" applyFill="1" applyBorder="1" applyAlignment="1" applyProtection="1">
      <alignment horizontal="center" vertical="top" wrapText="1"/>
      <protection locked="0"/>
    </xf>
    <xf numFmtId="172" fontId="41" fillId="25" borderId="42" xfId="1" applyNumberFormat="1" applyFont="1" applyFill="1" applyBorder="1" applyAlignment="1" applyProtection="1">
      <alignment horizontal="center" vertical="center" wrapText="1"/>
      <protection locked="0"/>
    </xf>
    <xf numFmtId="164" fontId="37" fillId="0" borderId="1" xfId="1" applyFont="1" applyFill="1" applyBorder="1" applyAlignment="1" applyProtection="1">
      <alignment horizontal="center" vertical="top" wrapText="1"/>
      <protection locked="0"/>
    </xf>
    <xf numFmtId="172" fontId="41" fillId="25" borderId="1" xfId="1" applyNumberFormat="1" applyFont="1" applyFill="1" applyBorder="1" applyAlignment="1" applyProtection="1">
      <alignment horizontal="center" vertical="center" wrapText="1"/>
      <protection locked="0"/>
    </xf>
    <xf numFmtId="0" fontId="41" fillId="17" borderId="18" xfId="0" applyFont="1" applyFill="1" applyBorder="1" applyAlignment="1" applyProtection="1">
      <alignment vertical="center"/>
      <protection locked="0"/>
    </xf>
    <xf numFmtId="0" fontId="38" fillId="0" borderId="0" xfId="0" applyFont="1" applyFill="1" applyBorder="1" applyProtection="1">
      <protection locked="0"/>
    </xf>
    <xf numFmtId="0" fontId="41" fillId="17" borderId="0" xfId="0" applyFont="1" applyFill="1" applyBorder="1" applyAlignment="1">
      <alignment vertical="top" wrapText="1"/>
    </xf>
    <xf numFmtId="0" fontId="37" fillId="17" borderId="28" xfId="0" applyFont="1" applyFill="1" applyBorder="1" applyAlignment="1">
      <alignment horizontal="center" vertical="top" wrapText="1"/>
    </xf>
    <xf numFmtId="0" fontId="37" fillId="17" borderId="1" xfId="0" applyFont="1" applyFill="1" applyBorder="1" applyAlignment="1">
      <alignment horizontal="center" vertical="top" wrapText="1"/>
    </xf>
    <xf numFmtId="0" fontId="38" fillId="0" borderId="0" xfId="0" applyFont="1" applyFill="1" applyBorder="1" applyAlignment="1">
      <alignment horizontal="left" vertical="top" wrapText="1"/>
    </xf>
    <xf numFmtId="0" fontId="41" fillId="0" borderId="13" xfId="0" applyFont="1" applyFill="1" applyBorder="1" applyAlignment="1">
      <alignment vertical="center"/>
    </xf>
    <xf numFmtId="0" fontId="41" fillId="0" borderId="8" xfId="0" applyFont="1" applyFill="1" applyBorder="1" applyAlignment="1">
      <alignment vertical="center"/>
    </xf>
    <xf numFmtId="0" fontId="49" fillId="0" borderId="10" xfId="0" applyFont="1" applyFill="1" applyBorder="1" applyAlignment="1">
      <alignment vertical="top" wrapText="1"/>
    </xf>
    <xf numFmtId="0" fontId="42" fillId="0" borderId="8" xfId="0" applyFont="1" applyFill="1" applyBorder="1" applyAlignment="1">
      <alignment vertical="center"/>
    </xf>
    <xf numFmtId="0" fontId="38" fillId="0" borderId="10" xfId="0" applyFont="1" applyFill="1" applyBorder="1"/>
    <xf numFmtId="0" fontId="48" fillId="0" borderId="0" xfId="0" applyFont="1" applyAlignment="1">
      <alignment horizontal="center"/>
    </xf>
    <xf numFmtId="0" fontId="44" fillId="0" borderId="0" xfId="0" applyFont="1" applyFill="1" applyBorder="1" applyAlignment="1">
      <alignment horizontal="left" vertical="top"/>
    </xf>
    <xf numFmtId="0" fontId="37" fillId="0" borderId="41" xfId="0" applyFont="1" applyFill="1" applyBorder="1" applyAlignment="1" applyProtection="1">
      <alignment horizontal="left" vertical="top" wrapText="1"/>
      <protection locked="0"/>
    </xf>
    <xf numFmtId="0" fontId="37" fillId="25" borderId="1" xfId="0" applyFont="1" applyFill="1" applyBorder="1" applyAlignment="1" applyProtection="1">
      <alignment horizontal="left" vertical="top" wrapText="1"/>
      <protection locked="0"/>
    </xf>
    <xf numFmtId="0" fontId="41" fillId="17" borderId="0" xfId="0" applyFont="1" applyFill="1" applyBorder="1" applyAlignment="1">
      <alignment vertical="top" wrapText="1"/>
    </xf>
    <xf numFmtId="0" fontId="37" fillId="25" borderId="3" xfId="0" applyFont="1" applyFill="1" applyBorder="1" applyAlignment="1" applyProtection="1">
      <alignment horizontal="center" vertical="center" wrapText="1"/>
      <protection locked="0"/>
    </xf>
    <xf numFmtId="0" fontId="37" fillId="25" borderId="4" xfId="0" applyFont="1" applyFill="1" applyBorder="1" applyAlignment="1" applyProtection="1">
      <alignment horizontal="center" vertical="center" wrapText="1"/>
      <protection locked="0"/>
    </xf>
    <xf numFmtId="0" fontId="37" fillId="25" borderId="33" xfId="0" applyFont="1" applyFill="1" applyBorder="1" applyAlignment="1" applyProtection="1">
      <alignment horizontal="center" vertical="center" wrapText="1"/>
      <protection locked="0"/>
    </xf>
    <xf numFmtId="0" fontId="41" fillId="25" borderId="44" xfId="0" applyFont="1" applyFill="1" applyBorder="1" applyAlignment="1" applyProtection="1">
      <alignment horizontal="left" vertical="top" wrapText="1"/>
      <protection locked="0"/>
    </xf>
    <xf numFmtId="0" fontId="41" fillId="25" borderId="45" xfId="0" applyFont="1" applyFill="1" applyBorder="1" applyAlignment="1" applyProtection="1">
      <alignment horizontal="left" vertical="top" wrapText="1"/>
      <protection locked="0"/>
    </xf>
    <xf numFmtId="0" fontId="49" fillId="17" borderId="37" xfId="0" applyFont="1" applyFill="1" applyBorder="1" applyAlignment="1">
      <alignment horizontal="left" vertical="top" wrapText="1"/>
    </xf>
    <xf numFmtId="0" fontId="49" fillId="17" borderId="38" xfId="0" applyFont="1" applyFill="1" applyBorder="1" applyAlignment="1">
      <alignment horizontal="left" vertical="top" wrapText="1"/>
    </xf>
    <xf numFmtId="0" fontId="49" fillId="17" borderId="31" xfId="0" applyFont="1" applyFill="1" applyBorder="1" applyAlignment="1">
      <alignment horizontal="left" vertical="top" wrapText="1"/>
    </xf>
    <xf numFmtId="0" fontId="49" fillId="17" borderId="0" xfId="0" applyFont="1" applyFill="1" applyBorder="1" applyAlignment="1">
      <alignment horizontal="left" vertical="top" wrapText="1"/>
    </xf>
    <xf numFmtId="0" fontId="49" fillId="17" borderId="10" xfId="0" applyFont="1" applyFill="1" applyBorder="1" applyAlignment="1">
      <alignment horizontal="left" vertical="top" wrapText="1"/>
    </xf>
    <xf numFmtId="0" fontId="49" fillId="17" borderId="12" xfId="0" applyFont="1" applyFill="1" applyBorder="1" applyAlignment="1">
      <alignment horizontal="left" vertical="top" wrapText="1"/>
    </xf>
    <xf numFmtId="0" fontId="49" fillId="17" borderId="39" xfId="0" applyFont="1" applyFill="1" applyBorder="1" applyAlignment="1">
      <alignment horizontal="left" vertical="top" wrapText="1"/>
    </xf>
    <xf numFmtId="0" fontId="49" fillId="17" borderId="40" xfId="0" applyFont="1" applyFill="1" applyBorder="1" applyAlignment="1">
      <alignment horizontal="left" vertical="top" wrapText="1"/>
    </xf>
    <xf numFmtId="0" fontId="42" fillId="0" borderId="0" xfId="0" applyFont="1" applyFill="1" applyAlignment="1">
      <alignment horizontal="center"/>
    </xf>
    <xf numFmtId="0" fontId="37" fillId="25" borderId="19" xfId="0" applyFont="1" applyFill="1" applyBorder="1" applyAlignment="1" applyProtection="1">
      <alignment horizontal="left" vertical="top" wrapText="1"/>
      <protection locked="0"/>
    </xf>
    <xf numFmtId="0" fontId="37" fillId="25" borderId="20" xfId="0" applyFont="1" applyFill="1" applyBorder="1" applyAlignment="1" applyProtection="1">
      <alignment horizontal="left" vertical="top" wrapText="1"/>
      <protection locked="0"/>
    </xf>
    <xf numFmtId="0" fontId="37" fillId="25" borderId="1" xfId="0" applyFont="1" applyFill="1" applyBorder="1" applyAlignment="1" applyProtection="1">
      <alignment horizontal="left" vertical="top" wrapText="1"/>
      <protection locked="0"/>
    </xf>
    <xf numFmtId="0" fontId="37" fillId="25" borderId="9" xfId="0" applyFont="1" applyFill="1" applyBorder="1" applyAlignment="1" applyProtection="1">
      <alignment horizontal="left" vertical="top" wrapText="1"/>
      <protection locked="0"/>
    </xf>
    <xf numFmtId="0" fontId="50" fillId="0" borderId="14" xfId="0" applyFont="1" applyFill="1" applyBorder="1" applyAlignment="1">
      <alignment horizontal="left" vertical="top" wrapText="1"/>
    </xf>
    <xf numFmtId="0" fontId="37" fillId="17" borderId="28" xfId="0" applyFont="1" applyFill="1" applyBorder="1" applyAlignment="1">
      <alignment horizontal="center" vertical="top" wrapText="1"/>
    </xf>
    <xf numFmtId="0" fontId="44" fillId="0" borderId="6" xfId="0" applyFont="1" applyFill="1" applyBorder="1" applyAlignment="1">
      <alignment horizontal="left" vertical="top" wrapText="1"/>
    </xf>
    <xf numFmtId="0" fontId="37" fillId="25" borderId="49" xfId="0" applyFont="1" applyFill="1" applyBorder="1" applyAlignment="1" applyProtection="1">
      <alignment horizontal="center" vertical="top" wrapText="1"/>
      <protection locked="0"/>
    </xf>
    <xf numFmtId="0" fontId="37" fillId="25" borderId="52" xfId="0" applyFont="1" applyFill="1" applyBorder="1" applyAlignment="1" applyProtection="1">
      <alignment horizontal="center" vertical="top" wrapText="1"/>
      <protection locked="0"/>
    </xf>
    <xf numFmtId="0" fontId="41" fillId="17" borderId="0" xfId="0" applyFont="1" applyFill="1" applyBorder="1" applyAlignment="1">
      <alignment horizontal="left" vertical="top" wrapText="1"/>
    </xf>
    <xf numFmtId="0" fontId="41" fillId="17" borderId="10" xfId="0" applyFont="1" applyFill="1" applyBorder="1" applyAlignment="1">
      <alignment horizontal="left" vertical="top" wrapText="1"/>
    </xf>
    <xf numFmtId="0" fontId="41" fillId="18" borderId="0" xfId="0" applyFont="1" applyFill="1" applyBorder="1" applyAlignment="1">
      <alignment horizontal="left" vertical="top" wrapText="1"/>
    </xf>
    <xf numFmtId="0" fontId="41" fillId="18" borderId="10" xfId="0" applyFont="1" applyFill="1" applyBorder="1" applyAlignment="1">
      <alignment horizontal="left" vertical="top" wrapText="1"/>
    </xf>
    <xf numFmtId="0" fontId="37" fillId="17" borderId="36" xfId="0" applyFont="1" applyFill="1" applyBorder="1" applyAlignment="1">
      <alignment horizontal="center" vertical="top" wrapText="1"/>
    </xf>
    <xf numFmtId="0" fontId="37" fillId="17" borderId="43" xfId="0" applyFont="1" applyFill="1" applyBorder="1" applyAlignment="1">
      <alignment horizontal="center" vertical="top" wrapText="1"/>
    </xf>
    <xf numFmtId="0" fontId="37" fillId="17" borderId="48" xfId="0" applyFont="1" applyFill="1" applyBorder="1" applyAlignment="1">
      <alignment horizontal="center" vertical="top" wrapText="1"/>
    </xf>
    <xf numFmtId="0" fontId="37" fillId="25" borderId="44" xfId="0" applyFont="1" applyFill="1" applyBorder="1" applyAlignment="1" applyProtection="1">
      <alignment horizontal="left" vertical="top" wrapText="1"/>
      <protection locked="0"/>
    </xf>
    <xf numFmtId="0" fontId="37" fillId="25" borderId="45" xfId="0" applyFont="1" applyFill="1" applyBorder="1" applyAlignment="1" applyProtection="1">
      <alignment horizontal="left" vertical="top" wrapText="1"/>
      <protection locked="0"/>
    </xf>
    <xf numFmtId="0" fontId="37" fillId="17" borderId="16" xfId="0" applyNumberFormat="1" applyFont="1" applyFill="1" applyBorder="1" applyAlignment="1">
      <alignment vertical="top" wrapText="1"/>
    </xf>
    <xf numFmtId="0" fontId="37" fillId="17" borderId="17" xfId="0" applyNumberFormat="1" applyFont="1" applyFill="1" applyBorder="1" applyAlignment="1">
      <alignment vertical="top" wrapText="1"/>
    </xf>
    <xf numFmtId="0" fontId="37" fillId="17" borderId="3" xfId="0" applyFont="1" applyFill="1" applyBorder="1" applyAlignment="1">
      <alignment horizontal="center" vertical="top" wrapText="1"/>
    </xf>
    <xf numFmtId="0" fontId="37" fillId="17" borderId="33" xfId="0" applyFont="1" applyFill="1" applyBorder="1" applyAlignment="1">
      <alignment horizontal="center" vertical="top" wrapText="1"/>
    </xf>
    <xf numFmtId="0" fontId="37" fillId="17" borderId="1" xfId="0" applyFont="1" applyFill="1" applyBorder="1" applyAlignment="1">
      <alignment horizontal="center" vertical="top" wrapText="1"/>
    </xf>
    <xf numFmtId="0" fontId="37" fillId="17" borderId="9" xfId="0" applyFont="1" applyFill="1" applyBorder="1" applyAlignment="1">
      <alignment horizontal="center" vertical="top" wrapText="1"/>
    </xf>
    <xf numFmtId="0" fontId="20" fillId="0" borderId="0" xfId="0" applyFont="1" applyFill="1" applyBorder="1" applyAlignment="1">
      <alignment horizontal="center" vertical="top"/>
    </xf>
    <xf numFmtId="0" fontId="31" fillId="14" borderId="14" xfId="0" applyFont="1" applyFill="1" applyBorder="1" applyAlignment="1">
      <alignment horizontal="left" vertical="top" wrapText="1"/>
    </xf>
    <xf numFmtId="0" fontId="32" fillId="17" borderId="1" xfId="0" applyFont="1" applyFill="1" applyBorder="1" applyAlignment="1">
      <alignment horizontal="left" vertical="top" wrapText="1"/>
    </xf>
    <xf numFmtId="0" fontId="20" fillId="0" borderId="0" xfId="0" applyFont="1" applyAlignment="1">
      <alignment horizontal="left" wrapText="1"/>
    </xf>
    <xf numFmtId="0" fontId="20" fillId="0" borderId="0" xfId="0" applyFont="1" applyFill="1" applyAlignment="1">
      <alignment horizontal="center"/>
    </xf>
    <xf numFmtId="0" fontId="0" fillId="21" borderId="0" xfId="0" applyFill="1" applyAlignment="1">
      <alignment horizontal="center" vertical="center" wrapText="1"/>
    </xf>
    <xf numFmtId="0" fontId="36" fillId="0" borderId="0" xfId="0" applyFont="1" applyFill="1" applyBorder="1" applyAlignment="1">
      <alignment horizontal="left" vertical="top"/>
    </xf>
    <xf numFmtId="0" fontId="1" fillId="0" borderId="0" xfId="0" applyFont="1" applyFill="1" applyBorder="1" applyAlignment="1">
      <alignment horizontal="center" vertical="top"/>
    </xf>
    <xf numFmtId="0" fontId="36" fillId="0" borderId="0" xfId="0" applyFont="1" applyFill="1" applyBorder="1" applyAlignment="1">
      <alignment horizontal="center" vertical="top"/>
    </xf>
    <xf numFmtId="0" fontId="36" fillId="0" borderId="0" xfId="0" applyFont="1" applyFill="1" applyBorder="1" applyAlignment="1">
      <alignment vertical="top"/>
    </xf>
    <xf numFmtId="164" fontId="1" fillId="0" borderId="0" xfId="1" applyFont="1" applyFill="1" applyBorder="1" applyAlignment="1">
      <alignment horizontal="left" vertical="top"/>
    </xf>
    <xf numFmtId="0" fontId="36" fillId="0" borderId="0" xfId="0" applyFont="1" applyFill="1" applyBorder="1" applyAlignment="1">
      <alignment vertical="center"/>
    </xf>
    <xf numFmtId="0" fontId="2" fillId="0" borderId="0" xfId="0" applyFont="1" applyFill="1" applyBorder="1" applyAlignment="1">
      <alignment vertical="center" wrapText="1"/>
    </xf>
    <xf numFmtId="0" fontId="36" fillId="0" borderId="0" xfId="0" applyFont="1" applyFill="1" applyBorder="1" applyAlignment="1">
      <alignment horizontal="left" vertical="top" wrapText="1"/>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0" fontId="1" fillId="0" borderId="14" xfId="0" applyFont="1" applyFill="1" applyBorder="1" applyAlignment="1">
      <alignment horizontal="center" vertical="top"/>
    </xf>
    <xf numFmtId="0" fontId="36" fillId="0" borderId="0" xfId="0" applyFont="1" applyFill="1" applyBorder="1" applyAlignment="1">
      <alignment vertical="top" wrapText="1"/>
    </xf>
    <xf numFmtId="0" fontId="36" fillId="0" borderId="0" xfId="0" applyFont="1" applyFill="1" applyBorder="1" applyAlignment="1">
      <alignment horizontal="center" vertical="center"/>
    </xf>
    <xf numFmtId="0" fontId="2" fillId="0" borderId="0" xfId="0" applyFont="1" applyFill="1" applyBorder="1" applyAlignment="1">
      <alignment horizontal="left" vertical="center" wrapText="1"/>
    </xf>
    <xf numFmtId="0" fontId="2" fillId="0" borderId="0" xfId="0" applyNumberFormat="1" applyFont="1" applyFill="1" applyBorder="1" applyAlignment="1">
      <alignment horizontal="left" vertical="center" wrapText="1"/>
    </xf>
    <xf numFmtId="0" fontId="48" fillId="0" borderId="0" xfId="0" applyFont="1" applyBorder="1" applyAlignment="1">
      <alignment horizontal="center"/>
    </xf>
    <xf numFmtId="0" fontId="44" fillId="0" borderId="0" xfId="0" applyFont="1" applyFill="1" applyBorder="1" applyAlignment="1">
      <alignment horizontal="left" vertical="top" wrapText="1"/>
    </xf>
    <xf numFmtId="0" fontId="48" fillId="0" borderId="0" xfId="0" applyFont="1" applyAlignment="1">
      <alignment horizontal="center"/>
    </xf>
    <xf numFmtId="0" fontId="54" fillId="0" borderId="3" xfId="0" applyFont="1" applyBorder="1" applyAlignment="1">
      <alignment horizontal="center" vertical="center" wrapText="1"/>
    </xf>
    <xf numFmtId="0" fontId="54" fillId="0" borderId="4" xfId="0" applyFont="1" applyBorder="1" applyAlignment="1">
      <alignment horizontal="center" vertical="center" wrapText="1"/>
    </xf>
    <xf numFmtId="0" fontId="54" fillId="0" borderId="2" xfId="0" applyFont="1" applyBorder="1" applyAlignment="1">
      <alignment horizontal="center" vertical="center" wrapText="1"/>
    </xf>
    <xf numFmtId="0" fontId="54" fillId="0" borderId="3" xfId="0" applyFont="1" applyBorder="1" applyAlignment="1">
      <alignment horizontal="center"/>
    </xf>
    <xf numFmtId="0" fontId="54" fillId="0" borderId="4" xfId="0" applyFont="1" applyBorder="1" applyAlignment="1">
      <alignment horizontal="center"/>
    </xf>
    <xf numFmtId="0" fontId="54" fillId="0" borderId="2" xfId="0" applyFont="1" applyBorder="1" applyAlignment="1">
      <alignment horizontal="center"/>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15" fillId="0" borderId="0" xfId="0" applyFont="1" applyFill="1" applyBorder="1" applyAlignment="1">
      <alignment horizontal="center" vertical="top"/>
    </xf>
  </cellXfs>
  <cellStyles count="4">
    <cellStyle name="Įprastas" xfId="0" builtinId="0"/>
    <cellStyle name="Kablelis" xfId="1" builtinId="3"/>
    <cellStyle name="Neutralus" xfId="3" builtinId="28"/>
    <cellStyle name="Procentai" xfId="2" builtinId="5"/>
  </cellStyles>
  <dxfs count="25">
    <dxf>
      <font>
        <b val="0"/>
        <i val="0"/>
        <strike val="0"/>
        <condense val="0"/>
        <extend val="0"/>
        <outline val="0"/>
        <shadow val="0"/>
        <u val="none"/>
        <vertAlign val="baseline"/>
        <sz val="11"/>
        <color rgb="FF9C0006"/>
        <name val="Calibri"/>
        <scheme val="minor"/>
      </font>
      <fill>
        <patternFill patternType="solid">
          <fgColor indexed="64"/>
          <bgColor rgb="FFFFC7CE"/>
        </patternFill>
      </fill>
    </dxf>
    <dxf>
      <font>
        <b val="0"/>
        <i val="0"/>
        <strike val="0"/>
        <condense val="0"/>
        <extend val="0"/>
        <outline val="0"/>
        <shadow val="0"/>
        <u val="none"/>
        <vertAlign val="baseline"/>
        <sz val="11"/>
        <color rgb="FF9C0006"/>
        <name val="Calibri"/>
        <scheme val="minor"/>
      </font>
      <fill>
        <patternFill patternType="solid">
          <fgColor indexed="64"/>
          <bgColor rgb="FFFFC7CE"/>
        </patternFill>
      </fill>
    </dxf>
    <dxf>
      <font>
        <b val="0"/>
        <i val="0"/>
        <strike val="0"/>
        <condense val="0"/>
        <extend val="0"/>
        <outline val="0"/>
        <shadow val="0"/>
        <u val="none"/>
        <vertAlign val="baseline"/>
        <sz val="11"/>
        <color rgb="FF006100"/>
        <name val="Calibri"/>
        <scheme val="minor"/>
      </font>
      <fill>
        <patternFill patternType="solid">
          <fgColor indexed="64"/>
          <bgColor rgb="FFC6EFCE"/>
        </patternFill>
      </fill>
    </dxf>
    <dxf>
      <font>
        <b val="0"/>
        <i val="0"/>
        <strike val="0"/>
        <condense val="0"/>
        <extend val="0"/>
        <outline val="0"/>
        <shadow val="0"/>
        <u val="none"/>
        <vertAlign val="baseline"/>
        <sz val="11"/>
        <color rgb="FF9C0006"/>
        <name val="Calibri"/>
        <scheme val="minor"/>
      </font>
      <fill>
        <patternFill patternType="solid">
          <fgColor indexed="64"/>
          <bgColor rgb="FFFFC7CE"/>
        </patternFill>
      </fill>
    </dxf>
    <dxf>
      <font>
        <b val="0"/>
        <i val="0"/>
        <strike val="0"/>
        <condense val="0"/>
        <extend val="0"/>
        <outline val="0"/>
        <shadow val="0"/>
        <u val="none"/>
        <vertAlign val="baseline"/>
        <sz val="11"/>
        <color rgb="FF9C0006"/>
        <name val="Calibri"/>
        <scheme val="minor"/>
      </font>
      <fill>
        <patternFill patternType="solid">
          <fgColor indexed="64"/>
          <bgColor rgb="FFFFC7CE"/>
        </patternFill>
      </fill>
    </dxf>
    <dxf>
      <font>
        <b val="0"/>
        <i val="0"/>
        <strike val="0"/>
        <condense val="0"/>
        <extend val="0"/>
        <outline val="0"/>
        <shadow val="0"/>
        <u val="none"/>
        <vertAlign val="baseline"/>
        <sz val="11"/>
        <color rgb="FF006100"/>
        <name val="Calibri"/>
        <scheme val="minor"/>
      </font>
      <fill>
        <patternFill patternType="solid">
          <fgColor indexed="64"/>
          <bgColor rgb="FFC6EFCE"/>
        </patternFill>
      </fill>
    </dxf>
    <dxf>
      <font>
        <b val="0"/>
        <i val="0"/>
        <strike val="0"/>
        <condense val="0"/>
        <extend val="0"/>
        <outline val="0"/>
        <shadow val="0"/>
        <u val="none"/>
        <vertAlign val="baseline"/>
        <sz val="11"/>
        <color rgb="FF9C0006"/>
        <name val="Calibri"/>
        <scheme val="minor"/>
      </font>
      <fill>
        <patternFill patternType="solid">
          <fgColor indexed="64"/>
          <bgColor rgb="FFFFC7CE"/>
        </patternFill>
      </fill>
    </dxf>
    <dxf>
      <font>
        <b val="0"/>
        <i val="0"/>
        <strike val="0"/>
        <condense val="0"/>
        <extend val="0"/>
        <outline val="0"/>
        <shadow val="0"/>
        <u val="none"/>
        <vertAlign val="baseline"/>
        <sz val="11"/>
        <color rgb="FF9C0006"/>
        <name val="Calibri"/>
        <scheme val="minor"/>
      </font>
      <fill>
        <patternFill patternType="solid">
          <fgColor indexed="64"/>
          <bgColor rgb="FFFFC7CE"/>
        </patternFill>
      </fill>
    </dxf>
    <dxf>
      <font>
        <b val="0"/>
        <i val="0"/>
        <strike val="0"/>
        <condense val="0"/>
        <extend val="0"/>
        <outline val="0"/>
        <shadow val="0"/>
        <u val="none"/>
        <vertAlign val="baseline"/>
        <sz val="11"/>
        <color rgb="FF006100"/>
        <name val="Calibri"/>
        <scheme val="minor"/>
      </font>
      <fill>
        <patternFill patternType="solid">
          <fgColor indexed="64"/>
          <bgColor rgb="FFC6EFCE"/>
        </patternFill>
      </fill>
    </dxf>
    <dxf>
      <font>
        <b val="0"/>
        <i val="0"/>
        <strike val="0"/>
        <condense val="0"/>
        <extend val="0"/>
        <outline val="0"/>
        <shadow val="0"/>
        <u val="none"/>
        <vertAlign val="baseline"/>
        <sz val="11"/>
        <color rgb="FF9C0006"/>
        <name val="Calibri"/>
        <scheme val="minor"/>
      </font>
      <fill>
        <patternFill patternType="solid">
          <fgColor indexed="64"/>
          <bgColor rgb="FFFFC7CE"/>
        </patternFill>
      </fill>
    </dxf>
    <dxf>
      <font>
        <b val="0"/>
        <i val="0"/>
        <strike val="0"/>
        <condense val="0"/>
        <extend val="0"/>
        <outline val="0"/>
        <shadow val="0"/>
        <u val="none"/>
        <vertAlign val="baseline"/>
        <sz val="11"/>
        <color rgb="FF9C0006"/>
        <name val="Calibri"/>
        <scheme val="minor"/>
      </font>
      <fill>
        <patternFill patternType="solid">
          <fgColor indexed="64"/>
          <bgColor rgb="FFFFC7CE"/>
        </patternFill>
      </fill>
    </dxf>
    <dxf>
      <font>
        <b val="0"/>
        <i val="0"/>
        <strike val="0"/>
        <condense val="0"/>
        <extend val="0"/>
        <outline val="0"/>
        <shadow val="0"/>
        <u val="none"/>
        <vertAlign val="baseline"/>
        <sz val="11"/>
        <color rgb="FF006100"/>
        <name val="Calibri"/>
        <scheme val="minor"/>
      </font>
      <fill>
        <patternFill patternType="solid">
          <fgColor indexed="64"/>
          <bgColor rgb="FFC6EFCE"/>
        </patternFill>
      </fill>
    </dxf>
    <dxf>
      <font>
        <b val="0"/>
        <i val="0"/>
        <strike val="0"/>
        <condense val="0"/>
        <extend val="0"/>
        <outline val="0"/>
        <shadow val="0"/>
        <u val="none"/>
        <vertAlign val="baseline"/>
        <sz val="11"/>
        <color rgb="FF9C0006"/>
        <name val="Calibri"/>
        <scheme val="minor"/>
      </font>
      <fill>
        <patternFill patternType="solid">
          <fgColor indexed="64"/>
          <bgColor rgb="FFFFC7CE"/>
        </patternFill>
      </fill>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9C0006"/>
        <name val="Calibri"/>
        <scheme val="minor"/>
      </font>
      <fill>
        <patternFill patternType="solid">
          <fgColor indexed="64"/>
          <bgColor rgb="FFFFC7CE"/>
        </patternFill>
      </fill>
    </dxf>
    <dxf>
      <font>
        <b val="0"/>
        <i val="0"/>
        <strike val="0"/>
        <condense val="0"/>
        <extend val="0"/>
        <outline val="0"/>
        <shadow val="0"/>
        <u val="none"/>
        <vertAlign val="baseline"/>
        <sz val="11"/>
        <color rgb="FF9C0006"/>
        <name val="Calibri"/>
        <scheme val="minor"/>
      </font>
      <fill>
        <patternFill patternType="solid">
          <fgColor indexed="64"/>
          <bgColor rgb="FFFFC7CE"/>
        </patternFill>
      </fill>
    </dxf>
    <dxf>
      <font>
        <b val="0"/>
        <i val="0"/>
        <strike val="0"/>
        <condense val="0"/>
        <extend val="0"/>
        <outline val="0"/>
        <shadow val="0"/>
        <u val="none"/>
        <vertAlign val="baseline"/>
        <sz val="11"/>
        <color rgb="FF006100"/>
        <name val="Calibri"/>
        <scheme val="minor"/>
      </font>
      <fill>
        <patternFill patternType="solid">
          <fgColor indexed="64"/>
          <bgColor rgb="FFC6EFCE"/>
        </patternFill>
      </fill>
    </dxf>
    <dxf>
      <font>
        <b val="0"/>
        <i val="0"/>
        <strike val="0"/>
        <condense val="0"/>
        <extend val="0"/>
        <outline val="0"/>
        <shadow val="0"/>
        <u val="none"/>
        <vertAlign val="baseline"/>
        <sz val="11"/>
        <color rgb="FF9C0006"/>
        <name val="Calibri"/>
        <scheme val="minor"/>
      </font>
      <fill>
        <patternFill patternType="solid">
          <fgColor indexed="64"/>
          <bgColor rgb="FFFFC7CE"/>
        </patternFill>
      </fill>
    </dxf>
    <dxf>
      <font>
        <b val="0"/>
        <i val="0"/>
        <strike val="0"/>
        <condense val="0"/>
        <extend val="0"/>
        <outline val="0"/>
        <shadow val="0"/>
        <u val="none"/>
        <vertAlign val="baseline"/>
        <sz val="11"/>
        <color rgb="FF9C0006"/>
        <name val="Calibri"/>
        <scheme val="minor"/>
      </font>
      <fill>
        <patternFill patternType="solid">
          <fgColor indexed="64"/>
          <bgColor rgb="FFFFC7CE"/>
        </patternFill>
      </fill>
    </dxf>
    <dxf>
      <font>
        <b val="0"/>
        <i val="0"/>
        <strike val="0"/>
        <condense val="0"/>
        <extend val="0"/>
        <outline val="0"/>
        <shadow val="0"/>
        <u val="none"/>
        <vertAlign val="baseline"/>
        <sz val="11"/>
        <color rgb="FF9C0006"/>
        <name val="Calibri"/>
        <scheme val="minor"/>
      </font>
      <fill>
        <patternFill patternType="solid">
          <fgColor indexed="64"/>
          <bgColor rgb="FFFFC7CE"/>
        </patternFill>
      </fill>
    </dxf>
    <dxf>
      <font>
        <b/>
        <i val="0"/>
        <strike val="0"/>
        <condense val="0"/>
        <extend val="0"/>
        <outline val="0"/>
        <shadow val="0"/>
        <color rgb="FFC00000"/>
      </font>
      <border>
        <left/>
        <right/>
        <top/>
        <bottom/>
      </border>
    </dxf>
    <dxf>
      <font>
        <b/>
        <i val="0"/>
        <strike val="0"/>
        <condense val="0"/>
        <extend val="0"/>
        <outline val="0"/>
        <shadow val="0"/>
        <color rgb="FFC00000"/>
      </font>
      <border>
        <left/>
        <right/>
        <top/>
        <bottom/>
      </border>
    </dxf>
    <dxf>
      <font>
        <b/>
        <i val="0"/>
        <strike val="0"/>
        <condense val="0"/>
        <extend val="0"/>
        <outline val="0"/>
        <shadow val="0"/>
        <color rgb="FFC00000"/>
      </font>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J$42" noThreeD="1"/>
</file>

<file path=xl/ctrlProps/ctrlProp2.xml><?xml version="1.0" encoding="utf-8"?>
<formControlPr xmlns="http://schemas.microsoft.com/office/spreadsheetml/2009/9/main" objectType="CheckBox" fmlaLink="$J$43" noThreeD="1"/>
</file>

<file path=xl/ctrlProps/ctrlProp3.xml><?xml version="1.0" encoding="utf-8"?>
<formControlPr xmlns="http://schemas.microsoft.com/office/spreadsheetml/2009/9/main" objectType="CheckBox" fmlaLink="$J$45" noThreeD="1"/>
</file>

<file path=xl/ctrlProps/ctrlProp4.xml><?xml version="1.0" encoding="utf-8"?>
<formControlPr xmlns="http://schemas.microsoft.com/office/spreadsheetml/2009/9/main" objectType="CheckBox" checked="Checked" fmlaLink="$J$44" noThreeD="1"/>
</file>

<file path=xl/ctrlProps/ctrlProp5.xml><?xml version="1.0" encoding="utf-8"?>
<formControlPr xmlns="http://schemas.microsoft.com/office/spreadsheetml/2009/9/main" objectType="CheckBox" checked="Checked" fmlaLink="$I$21" lockText="1" noThreeD="1"/>
</file>

<file path=xl/ctrlProps/ctrlProp6.xml><?xml version="1.0" encoding="utf-8"?>
<formControlPr xmlns="http://schemas.microsoft.com/office/spreadsheetml/2009/9/main" objectType="CheckBox" fmlaLink="$I$22" lockText="1" noThreeD="1"/>
</file>

<file path=xl/ctrlProps/ctrlProp7.xml><?xml version="1.0" encoding="utf-8"?>
<formControlPr xmlns="http://schemas.microsoft.com/office/spreadsheetml/2009/9/main" objectType="CheckBox" checked="Checked" fmlaLink="$I$24" lockText="1" noThreeD="1"/>
</file>

<file path=xl/ctrlProps/ctrlProp8.xml><?xml version="1.0" encoding="utf-8"?>
<formControlPr xmlns="http://schemas.microsoft.com/office/spreadsheetml/2009/9/main" objectType="CheckBox" fmlaLink="$I$23"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45</xdr:row>
          <xdr:rowOff>38100</xdr:rowOff>
        </xdr:from>
        <xdr:to>
          <xdr:col>1</xdr:col>
          <xdr:colOff>333375</xdr:colOff>
          <xdr:row>45</xdr:row>
          <xdr:rowOff>257175</xdr:rowOff>
        </xdr:to>
        <xdr:sp macro="" textlink="">
          <xdr:nvSpPr>
            <xdr:cNvPr id="2132" name="Check Box 84" hidden="1">
              <a:extLst>
                <a:ext uri="{63B3BB69-23CF-44E3-9099-C40C66FF867C}">
                  <a14:compatExt spid="_x0000_s2132"/>
                </a:ext>
                <a:ext uri="{FF2B5EF4-FFF2-40B4-BE49-F238E27FC236}">
                  <a16:creationId xmlns="" xmlns:a16="http://schemas.microsoft.com/office/drawing/2014/main" id="{00000000-0008-0000-0000-00005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142875</xdr:rowOff>
        </xdr:from>
        <xdr:to>
          <xdr:col>1</xdr:col>
          <xdr:colOff>333375</xdr:colOff>
          <xdr:row>46</xdr:row>
          <xdr:rowOff>361950</xdr:rowOff>
        </xdr:to>
        <xdr:sp macro="" textlink="">
          <xdr:nvSpPr>
            <xdr:cNvPr id="2133" name="Check Box 85" hidden="1">
              <a:extLst>
                <a:ext uri="{63B3BB69-23CF-44E3-9099-C40C66FF867C}">
                  <a14:compatExt spid="_x0000_s2133"/>
                </a:ext>
                <a:ext uri="{FF2B5EF4-FFF2-40B4-BE49-F238E27FC236}">
                  <a16:creationId xmlns="" xmlns:a16="http://schemas.microsoft.com/office/drawing/2014/main" id="{00000000-0008-0000-0000-00005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48</xdr:row>
          <xdr:rowOff>104775</xdr:rowOff>
        </xdr:from>
        <xdr:to>
          <xdr:col>1</xdr:col>
          <xdr:colOff>333375</xdr:colOff>
          <xdr:row>48</xdr:row>
          <xdr:rowOff>323850</xdr:rowOff>
        </xdr:to>
        <xdr:sp macro="" textlink="">
          <xdr:nvSpPr>
            <xdr:cNvPr id="2134" name="Check Box 86" hidden="1">
              <a:extLst>
                <a:ext uri="{63B3BB69-23CF-44E3-9099-C40C66FF867C}">
                  <a14:compatExt spid="_x0000_s2134"/>
                </a:ext>
                <a:ext uri="{FF2B5EF4-FFF2-40B4-BE49-F238E27FC236}">
                  <a16:creationId xmlns="" xmlns:a16="http://schemas.microsoft.com/office/drawing/2014/main" id="{00000000-0008-0000-0000-00005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47</xdr:row>
          <xdr:rowOff>76200</xdr:rowOff>
        </xdr:from>
        <xdr:to>
          <xdr:col>1</xdr:col>
          <xdr:colOff>333375</xdr:colOff>
          <xdr:row>47</xdr:row>
          <xdr:rowOff>295275</xdr:rowOff>
        </xdr:to>
        <xdr:sp macro="" textlink="">
          <xdr:nvSpPr>
            <xdr:cNvPr id="2135" name="Check Box 87" hidden="1">
              <a:extLst>
                <a:ext uri="{63B3BB69-23CF-44E3-9099-C40C66FF867C}">
                  <a14:compatExt spid="_x0000_s2135"/>
                </a:ext>
                <a:ext uri="{FF2B5EF4-FFF2-40B4-BE49-F238E27FC236}">
                  <a16:creationId xmlns="" xmlns:a16="http://schemas.microsoft.com/office/drawing/2014/main" id="{00000000-0008-0000-0000-00005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123825</xdr:colOff>
      <xdr:row>47</xdr:row>
      <xdr:rowOff>104775</xdr:rowOff>
    </xdr:from>
    <xdr:to>
      <xdr:col>5</xdr:col>
      <xdr:colOff>2181225</xdr:colOff>
      <xdr:row>72</xdr:row>
      <xdr:rowOff>95250</xdr:rowOff>
    </xdr:to>
    <xdr:pic>
      <xdr:nvPicPr>
        <xdr:cNvPr id="9557" name="Paveikslėlis 10" descr="Vaizdo rezultatas pagal užklausą „siauliai zemelapis“">
          <a:extLst>
            <a:ext uri="{FF2B5EF4-FFF2-40B4-BE49-F238E27FC236}">
              <a16:creationId xmlns="" xmlns:a16="http://schemas.microsoft.com/office/drawing/2014/main" id="{00000000-0008-0000-0100-0000552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0" y="14735175"/>
          <a:ext cx="7610475" cy="475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28575</xdr:colOff>
          <xdr:row>20</xdr:row>
          <xdr:rowOff>38100</xdr:rowOff>
        </xdr:from>
        <xdr:to>
          <xdr:col>2</xdr:col>
          <xdr:colOff>0</xdr:colOff>
          <xdr:row>20</xdr:row>
          <xdr:rowOff>266700</xdr:rowOff>
        </xdr:to>
        <xdr:sp macro="" textlink="">
          <xdr:nvSpPr>
            <xdr:cNvPr id="9265" name="Check Box 49" hidden="1">
              <a:extLst>
                <a:ext uri="{63B3BB69-23CF-44E3-9099-C40C66FF867C}">
                  <a14:compatExt spid="_x0000_s9265"/>
                </a:ext>
                <a:ext uri="{FF2B5EF4-FFF2-40B4-BE49-F238E27FC236}">
                  <a16:creationId xmlns="" xmlns:a16="http://schemas.microsoft.com/office/drawing/2014/main" id="{00000000-0008-0000-0100-00003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xdr:row>
          <xdr:rowOff>133350</xdr:rowOff>
        </xdr:from>
        <xdr:to>
          <xdr:col>1</xdr:col>
          <xdr:colOff>333375</xdr:colOff>
          <xdr:row>21</xdr:row>
          <xdr:rowOff>352425</xdr:rowOff>
        </xdr:to>
        <xdr:sp macro="" textlink="">
          <xdr:nvSpPr>
            <xdr:cNvPr id="9266" name="Check Box 50" hidden="1">
              <a:extLst>
                <a:ext uri="{63B3BB69-23CF-44E3-9099-C40C66FF867C}">
                  <a14:compatExt spid="_x0000_s9266"/>
                </a:ext>
                <a:ext uri="{FF2B5EF4-FFF2-40B4-BE49-F238E27FC236}">
                  <a16:creationId xmlns="" xmlns:a16="http://schemas.microsoft.com/office/drawing/2014/main" id="{00000000-0008-0000-0100-00003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104775</xdr:rowOff>
        </xdr:from>
        <xdr:to>
          <xdr:col>1</xdr:col>
          <xdr:colOff>333375</xdr:colOff>
          <xdr:row>23</xdr:row>
          <xdr:rowOff>323850</xdr:rowOff>
        </xdr:to>
        <xdr:sp macro="" textlink="">
          <xdr:nvSpPr>
            <xdr:cNvPr id="9267" name="Check Box 51" hidden="1">
              <a:extLst>
                <a:ext uri="{63B3BB69-23CF-44E3-9099-C40C66FF867C}">
                  <a14:compatExt spid="_x0000_s9267"/>
                </a:ext>
                <a:ext uri="{FF2B5EF4-FFF2-40B4-BE49-F238E27FC236}">
                  <a16:creationId xmlns="" xmlns:a16="http://schemas.microsoft.com/office/drawing/2014/main" id="{00000000-0008-0000-0100-00003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xdr:row>
          <xdr:rowOff>76200</xdr:rowOff>
        </xdr:from>
        <xdr:to>
          <xdr:col>1</xdr:col>
          <xdr:colOff>333375</xdr:colOff>
          <xdr:row>22</xdr:row>
          <xdr:rowOff>295275</xdr:rowOff>
        </xdr:to>
        <xdr:sp macro="" textlink="">
          <xdr:nvSpPr>
            <xdr:cNvPr id="9268" name="Check Box 52" hidden="1">
              <a:extLst>
                <a:ext uri="{63B3BB69-23CF-44E3-9099-C40C66FF867C}">
                  <a14:compatExt spid="_x0000_s9268"/>
                </a:ext>
                <a:ext uri="{FF2B5EF4-FFF2-40B4-BE49-F238E27FC236}">
                  <a16:creationId xmlns="" xmlns:a16="http://schemas.microsoft.com/office/drawing/2014/main" id="{00000000-0008-0000-0100-00003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RPP%20metodika\Plano%20remontas%202017-01-10naujasexcel%20(Pataisy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1L"/>
      <sheetName val="2lentele"/>
      <sheetName val="3lentele"/>
      <sheetName val="4lentele"/>
      <sheetName val="PP2Lindex"/>
      <sheetName val="PP3Lindex"/>
      <sheetName val="PP4Lindex"/>
      <sheetName val="neat234"/>
      <sheetName val="požymių išvalymas"/>
      <sheetName val="pozymiu sarasai"/>
      <sheetName val="kodavimo sarasai"/>
      <sheetName val="Datu_isvalymas"/>
      <sheetName val="Ist"/>
      <sheetName val="Ist (2)"/>
      <sheetName val="Ist (3)"/>
      <sheetName val="Ist (4)"/>
      <sheetName val="Ist (5)"/>
      <sheetName val="pinigų išvalymas"/>
      <sheetName val="Rodisval1"/>
      <sheetName val="Rodisval2"/>
      <sheetName val="Rodisval3"/>
      <sheetName val="Rodisval4"/>
      <sheetName val="Rodisval5"/>
      <sheetName val="PP2LIN"/>
      <sheetName val="PP3LIN"/>
      <sheetName val="PP4LIN"/>
      <sheetName val="PP5L"/>
      <sheetName val="PP6L"/>
      <sheetName val="PP7L"/>
      <sheetName val="Med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V135"/>
  <sheetViews>
    <sheetView tabSelected="1" view="pageBreakPreview" topLeftCell="A88" zoomScaleNormal="85" zoomScaleSheetLayoutView="100" workbookViewId="0">
      <selection activeCell="F10" sqref="F10"/>
    </sheetView>
  </sheetViews>
  <sheetFormatPr defaultColWidth="9.140625" defaultRowHeight="12.75" x14ac:dyDescent="0.2"/>
  <cols>
    <col min="1" max="1" width="4.42578125" style="247" customWidth="1"/>
    <col min="2" max="2" width="7.5703125" style="277" customWidth="1"/>
    <col min="3" max="3" width="41" style="272" customWidth="1"/>
    <col min="4" max="4" width="28.28515625" style="272" customWidth="1"/>
    <col min="5" max="5" width="34.7109375" style="272" customWidth="1"/>
    <col min="6" max="6" width="37.28515625" style="272" customWidth="1"/>
    <col min="7" max="7" width="4" style="267" hidden="1" customWidth="1"/>
    <col min="8" max="8" width="31.85546875" style="268" hidden="1" customWidth="1"/>
    <col min="9" max="9" width="10.7109375" style="247" hidden="1" customWidth="1"/>
    <col min="10" max="10" width="14.7109375" style="247" hidden="1" customWidth="1"/>
    <col min="11" max="11" width="12.42578125" style="247" hidden="1" customWidth="1"/>
    <col min="12" max="12" width="10.85546875" style="247" hidden="1" customWidth="1"/>
    <col min="13" max="14" width="11.28515625" style="247" hidden="1" customWidth="1"/>
    <col min="15" max="15" width="9.140625" style="247" hidden="1" customWidth="1"/>
    <col min="16" max="30" width="9.140625" style="248" hidden="1" customWidth="1"/>
    <col min="31" max="256" width="0" style="248" hidden="1" customWidth="1"/>
    <col min="257" max="16384" width="9.140625" style="248"/>
  </cols>
  <sheetData>
    <row r="1" spans="1:14" ht="15.75" x14ac:dyDescent="0.2">
      <c r="F1" s="361" t="s">
        <v>947</v>
      </c>
    </row>
    <row r="2" spans="1:14" ht="15.75" x14ac:dyDescent="0.2">
      <c r="F2" s="361" t="s">
        <v>948</v>
      </c>
    </row>
    <row r="3" spans="1:14" ht="15.75" x14ac:dyDescent="0.2">
      <c r="F3" s="361" t="s">
        <v>1023</v>
      </c>
    </row>
    <row r="4" spans="1:14" ht="15.75" x14ac:dyDescent="0.2">
      <c r="F4" s="361"/>
    </row>
    <row r="5" spans="1:14" x14ac:dyDescent="0.2">
      <c r="A5" s="285"/>
      <c r="B5" s="285"/>
      <c r="C5" s="286"/>
      <c r="D5" s="286"/>
      <c r="E5" s="285"/>
      <c r="F5" s="286"/>
    </row>
    <row r="6" spans="1:14" ht="15.75" x14ac:dyDescent="0.25">
      <c r="A6" s="288"/>
      <c r="B6" s="565" t="str">
        <f>"PASIŪLYMAS DĖL "&amp;UPPER(D12)&amp;" REGIONO PLĖTROS PLANO SUDARYMO / KEITIMO"</f>
        <v>PASIŪLYMAS DĖL VILNIAUS REGIONO PLĖTROS PLANO SUDARYMO / KEITIMO</v>
      </c>
      <c r="C6" s="565"/>
      <c r="D6" s="565"/>
      <c r="E6" s="565"/>
      <c r="F6" s="565"/>
      <c r="K6" s="247" t="str">
        <f>D12</f>
        <v>Vilniaus</v>
      </c>
    </row>
    <row r="7" spans="1:14" ht="15.75" x14ac:dyDescent="0.25">
      <c r="A7" s="288"/>
      <c r="B7" s="510"/>
      <c r="C7" s="510"/>
      <c r="D7" s="510"/>
      <c r="E7" s="510"/>
      <c r="F7" s="510"/>
    </row>
    <row r="8" spans="1:14" ht="15.75" x14ac:dyDescent="0.25">
      <c r="A8" s="288"/>
      <c r="B8" s="511" t="s">
        <v>1018</v>
      </c>
      <c r="C8" s="510"/>
      <c r="D8" s="510"/>
      <c r="E8" s="510"/>
      <c r="F8" s="510"/>
    </row>
    <row r="9" spans="1:14" ht="16.5" thickBot="1" x14ac:dyDescent="0.3">
      <c r="A9" s="288"/>
      <c r="B9" s="366" t="s">
        <v>1012</v>
      </c>
      <c r="C9" s="248"/>
      <c r="D9" s="248"/>
      <c r="E9" s="248"/>
      <c r="F9" s="248"/>
      <c r="H9" s="269"/>
    </row>
    <row r="10" spans="1:14" ht="14.25" x14ac:dyDescent="0.2">
      <c r="A10" s="288"/>
      <c r="B10" s="368"/>
      <c r="C10" s="369" t="s">
        <v>1021</v>
      </c>
      <c r="D10" s="370"/>
      <c r="E10" s="370" t="s">
        <v>1022</v>
      </c>
      <c r="F10" s="371">
        <v>44141</v>
      </c>
      <c r="H10" s="269"/>
    </row>
    <row r="11" spans="1:14" ht="15" x14ac:dyDescent="0.25">
      <c r="A11" s="285"/>
      <c r="B11" s="372"/>
      <c r="C11" s="373"/>
      <c r="D11" s="373"/>
      <c r="E11" s="374"/>
      <c r="F11" s="375"/>
      <c r="H11" s="267"/>
    </row>
    <row r="12" spans="1:14" ht="15" x14ac:dyDescent="0.25">
      <c r="A12" s="288"/>
      <c r="B12" s="376"/>
      <c r="C12" s="377" t="s">
        <v>0</v>
      </c>
      <c r="D12" s="517" t="s">
        <v>470</v>
      </c>
      <c r="E12" s="373"/>
      <c r="F12" s="378"/>
      <c r="H12" s="267"/>
      <c r="K12" s="247" t="b">
        <f>ISTEXT(D12)</f>
        <v>1</v>
      </c>
      <c r="L12" s="247" t="s">
        <v>2</v>
      </c>
      <c r="N12" s="247" t="b">
        <f>NOT(K12)</f>
        <v>0</v>
      </c>
    </row>
    <row r="13" spans="1:14" ht="30.95" customHeight="1" x14ac:dyDescent="0.25">
      <c r="A13" s="288"/>
      <c r="B13" s="376"/>
      <c r="C13" s="377" t="s">
        <v>3</v>
      </c>
      <c r="D13" s="517" t="s">
        <v>40</v>
      </c>
      <c r="E13" s="373"/>
      <c r="F13" s="378"/>
      <c r="H13" s="267"/>
      <c r="K13" s="247" t="b">
        <f>ISTEXT(D13)</f>
        <v>1</v>
      </c>
      <c r="L13" s="247" t="s">
        <v>2</v>
      </c>
      <c r="M13" s="247" t="b">
        <f>IF(D13="–",TRUE,FALSE)</f>
        <v>1</v>
      </c>
      <c r="N13" s="247" t="b">
        <v>1</v>
      </c>
    </row>
    <row r="14" spans="1:14" ht="15" x14ac:dyDescent="0.25">
      <c r="A14" s="288"/>
      <c r="B14" s="376"/>
      <c r="C14" s="379"/>
      <c r="D14" s="380"/>
      <c r="E14" s="373"/>
      <c r="F14" s="378"/>
      <c r="H14" s="267"/>
      <c r="N14" s="247" t="b">
        <f>AND(N12:N13)</f>
        <v>0</v>
      </c>
    </row>
    <row r="15" spans="1:14" ht="15" x14ac:dyDescent="0.25">
      <c r="A15" s="285"/>
      <c r="B15" s="376"/>
      <c r="C15" s="381" t="s">
        <v>5</v>
      </c>
      <c r="D15" s="518" t="s">
        <v>478</v>
      </c>
      <c r="E15" s="373"/>
      <c r="F15" s="378"/>
      <c r="H15" s="267"/>
    </row>
    <row r="16" spans="1:14" ht="15" x14ac:dyDescent="0.25">
      <c r="A16" s="285"/>
      <c r="B16" s="376"/>
      <c r="C16" s="382"/>
      <c r="D16" s="382"/>
      <c r="E16" s="373"/>
      <c r="F16" s="378"/>
      <c r="H16" s="267"/>
    </row>
    <row r="17" spans="1:22" ht="15" x14ac:dyDescent="0.25">
      <c r="A17" s="285"/>
      <c r="B17" s="376"/>
      <c r="C17" s="383" t="s">
        <v>1014</v>
      </c>
      <c r="D17" s="519"/>
      <c r="E17" s="384"/>
      <c r="F17" s="378"/>
      <c r="H17" s="267">
        <f t="shared" ref="H17:H21" si="0">LEN(D17)</f>
        <v>0</v>
      </c>
    </row>
    <row r="18" spans="1:22" ht="15" x14ac:dyDescent="0.25">
      <c r="A18" s="285"/>
      <c r="B18" s="376"/>
      <c r="C18" s="382"/>
      <c r="D18" s="385"/>
      <c r="E18" s="384"/>
      <c r="F18" s="378"/>
      <c r="H18" s="267">
        <f t="shared" si="0"/>
        <v>0</v>
      </c>
      <c r="K18" s="270" t="str">
        <f>SUBSTITUTE(D32,".","A",1)</f>
        <v/>
      </c>
      <c r="L18" s="270" t="str">
        <f>SUBSTITUTE(K18,".","B",1)</f>
        <v/>
      </c>
      <c r="M18" s="270" t="str">
        <f>SUBSTITUTE(L18,".","C",1)</f>
        <v/>
      </c>
      <c r="N18" s="270" t="str">
        <f>SUBSTITUTE(M18,".","D",1)</f>
        <v/>
      </c>
      <c r="O18" s="270" t="e">
        <f>LEFT(N18,FIND("A",N18,1)-1)</f>
        <v>#VALUE!</v>
      </c>
      <c r="P18" s="270" t="e">
        <f>MID(N18,FIND("A",N18,1)+1,FIND("B",N18,1)-FIND("A",N18,1)-1)</f>
        <v>#VALUE!</v>
      </c>
      <c r="Q18" s="270" t="e">
        <f>MID(N18,FIND("B",N18,1)+1,FIND("C",N18,1)-FIND("B",N18,1)-1)</f>
        <v>#VALUE!</v>
      </c>
      <c r="R18" s="270" t="e">
        <f>MID(N18,FIND("C",N18,1)+1,FIND("D",N18,1)-FIND("C",N18,1)-1)</f>
        <v>#VALUE!</v>
      </c>
      <c r="S18" s="270" t="e">
        <f>RIGHT(N18,LEN(N18)-FIND("D",N18,1))</f>
        <v>#VALUE!</v>
      </c>
      <c r="T18" s="271" t="e">
        <f>O18&amp;P18&amp;IF(LEN(Q18)&lt;2,"0"&amp;Q18,Q18)&amp;IF(LEN(R18)&lt;2,"0"&amp;R18,R18)&amp;IF(LEN(S18)&lt;2,"0"&amp;S18,S18)</f>
        <v>#VALUE!</v>
      </c>
    </row>
    <row r="19" spans="1:22" ht="15" x14ac:dyDescent="0.2">
      <c r="A19" s="285"/>
      <c r="B19" s="376"/>
      <c r="C19" s="386"/>
      <c r="D19" s="387"/>
      <c r="E19" s="387"/>
      <c r="F19" s="388"/>
      <c r="H19" s="274"/>
      <c r="I19" s="275"/>
    </row>
    <row r="20" spans="1:22" ht="48" customHeight="1" x14ac:dyDescent="0.2">
      <c r="A20" s="285"/>
      <c r="B20" s="376"/>
      <c r="C20" s="389" t="s">
        <v>8</v>
      </c>
      <c r="D20" s="552"/>
      <c r="E20" s="553"/>
      <c r="F20" s="554"/>
      <c r="H20" s="248"/>
      <c r="I20" s="248" t="s">
        <v>7</v>
      </c>
      <c r="J20" s="248"/>
      <c r="K20" s="248"/>
      <c r="L20" s="248"/>
      <c r="M20" s="248"/>
      <c r="N20" s="248"/>
      <c r="O20" s="248"/>
    </row>
    <row r="21" spans="1:22" ht="80.099999999999994" customHeight="1" thickBot="1" x14ac:dyDescent="0.25">
      <c r="A21" s="285"/>
      <c r="B21" s="390"/>
      <c r="C21" s="391" t="s">
        <v>9</v>
      </c>
      <c r="D21" s="566"/>
      <c r="E21" s="566"/>
      <c r="F21" s="567"/>
      <c r="H21" s="274">
        <f t="shared" si="0"/>
        <v>0</v>
      </c>
      <c r="I21" s="248"/>
      <c r="J21" s="248"/>
      <c r="K21" s="248"/>
      <c r="L21" s="248"/>
      <c r="M21" s="248"/>
      <c r="N21" s="248"/>
      <c r="O21" s="248"/>
    </row>
    <row r="22" spans="1:22" ht="80.099999999999994" customHeight="1" x14ac:dyDescent="0.2">
      <c r="A22" s="285"/>
      <c r="B22" s="572" t="s">
        <v>1016</v>
      </c>
      <c r="C22" s="572"/>
      <c r="D22" s="572"/>
      <c r="E22" s="572"/>
      <c r="F22" s="572"/>
      <c r="H22" s="274"/>
      <c r="I22" s="248"/>
      <c r="J22" s="248"/>
      <c r="K22" s="248"/>
      <c r="L22" s="248"/>
      <c r="M22" s="248"/>
      <c r="N22" s="248"/>
      <c r="O22" s="248"/>
    </row>
    <row r="23" spans="1:22" x14ac:dyDescent="0.2">
      <c r="A23" s="285"/>
      <c r="F23" s="541"/>
      <c r="H23" s="276"/>
      <c r="I23" s="248"/>
      <c r="J23" s="248"/>
      <c r="K23" s="248"/>
      <c r="L23" s="248"/>
      <c r="M23" s="248"/>
      <c r="N23" s="248"/>
      <c r="O23" s="248"/>
      <c r="V23" s="247"/>
    </row>
    <row r="24" spans="1:22" ht="16.5" thickBot="1" x14ac:dyDescent="0.25">
      <c r="A24" s="288"/>
      <c r="B24" s="367" t="s">
        <v>11</v>
      </c>
      <c r="V24" s="247"/>
    </row>
    <row r="25" spans="1:22" ht="15" x14ac:dyDescent="0.2">
      <c r="A25" s="285"/>
      <c r="B25" s="368"/>
      <c r="C25" s="392"/>
      <c r="D25" s="392"/>
      <c r="E25" s="392"/>
      <c r="F25" s="393"/>
      <c r="K25" s="248"/>
      <c r="L25" s="248"/>
      <c r="M25" s="248"/>
      <c r="N25" s="248"/>
      <c r="O25" s="248"/>
    </row>
    <row r="26" spans="1:22" ht="15.75" thickBot="1" x14ac:dyDescent="0.3">
      <c r="A26" s="285"/>
      <c r="B26" s="394"/>
      <c r="C26" s="373" t="s">
        <v>1020</v>
      </c>
      <c r="D26" s="386"/>
      <c r="E26" s="386"/>
      <c r="F26" s="395"/>
      <c r="K26" s="248"/>
      <c r="L26" s="248"/>
      <c r="M26" s="248"/>
      <c r="N26" s="248"/>
      <c r="O26" s="248"/>
    </row>
    <row r="27" spans="1:22" ht="15" thickBot="1" x14ac:dyDescent="0.25">
      <c r="A27" s="285"/>
      <c r="B27" s="376"/>
      <c r="C27" s="520" t="s">
        <v>480</v>
      </c>
      <c r="D27" s="557" t="s">
        <v>1019</v>
      </c>
      <c r="E27" s="557"/>
      <c r="F27" s="558"/>
      <c r="K27" s="249"/>
      <c r="L27" s="249"/>
      <c r="M27" s="249"/>
      <c r="N27" s="249"/>
      <c r="O27" s="249"/>
    </row>
    <row r="28" spans="1:22" ht="14.25" x14ac:dyDescent="0.2">
      <c r="A28" s="285"/>
      <c r="B28" s="376"/>
      <c r="C28" s="538"/>
      <c r="D28" s="559"/>
      <c r="E28" s="560"/>
      <c r="F28" s="561"/>
      <c r="H28" s="269"/>
      <c r="K28" s="249"/>
      <c r="L28" s="249"/>
      <c r="M28" s="249"/>
      <c r="N28" s="249"/>
      <c r="O28" s="249"/>
    </row>
    <row r="29" spans="1:22" ht="52.5" customHeight="1" x14ac:dyDescent="0.2">
      <c r="A29" s="285"/>
      <c r="B29" s="376"/>
      <c r="C29" s="538"/>
      <c r="D29" s="562"/>
      <c r="E29" s="563"/>
      <c r="F29" s="564"/>
      <c r="H29" s="269"/>
      <c r="K29" s="249"/>
      <c r="L29" s="249"/>
      <c r="M29" s="249"/>
      <c r="N29" s="249"/>
      <c r="O29" s="249"/>
    </row>
    <row r="30" spans="1:22" ht="23.1" customHeight="1" x14ac:dyDescent="0.2">
      <c r="A30" s="285"/>
      <c r="B30" s="376"/>
      <c r="C30" s="396" t="s">
        <v>13</v>
      </c>
      <c r="D30" s="386"/>
      <c r="E30" s="386"/>
      <c r="F30" s="395"/>
      <c r="H30" s="248"/>
      <c r="J30" s="247" t="s">
        <v>14</v>
      </c>
      <c r="K30" s="250" t="b">
        <f>IF(C27="Įtraukti naują projektą",TRUE,FALSE)</f>
        <v>1</v>
      </c>
      <c r="L30" s="249"/>
      <c r="M30" s="249"/>
      <c r="N30" s="249"/>
      <c r="O30" s="249"/>
    </row>
    <row r="31" spans="1:22" ht="15" x14ac:dyDescent="0.2">
      <c r="A31" s="285"/>
      <c r="B31" s="376"/>
      <c r="C31" s="389"/>
      <c r="D31" s="540" t="str">
        <f>IF(K31,"Esamo projekto numeris Plane","")</f>
        <v/>
      </c>
      <c r="E31" s="540" t="str">
        <f>IF(K31,"Esamo projekto pavadinimas Plane","")</f>
        <v/>
      </c>
      <c r="F31" s="395"/>
      <c r="H31" s="247"/>
      <c r="J31" s="247" t="s">
        <v>15</v>
      </c>
      <c r="K31" s="247" t="b">
        <f>OR(K32:K33)</f>
        <v>0</v>
      </c>
      <c r="L31" s="247" t="s">
        <v>16</v>
      </c>
      <c r="M31" s="247" t="s">
        <v>17</v>
      </c>
    </row>
    <row r="32" spans="1:22" ht="70.5" customHeight="1" x14ac:dyDescent="0.2">
      <c r="A32" s="285"/>
      <c r="B32" s="376"/>
      <c r="C32" s="389" t="str">
        <f>IF(K31,"Pateikite informaciją apie keičiamą (išbraukiamą) projektą →","")</f>
        <v/>
      </c>
      <c r="D32" s="517"/>
      <c r="E32" s="550" t="s">
        <v>1034</v>
      </c>
      <c r="F32" s="395"/>
      <c r="J32" s="247" t="s">
        <v>18</v>
      </c>
      <c r="K32" s="251" t="b">
        <f>IF(C27="Pakeisti esamą projektą",TRUE,FALSE)</f>
        <v>0</v>
      </c>
      <c r="L32" s="249" t="b">
        <f>ISTEXT(D32)</f>
        <v>0</v>
      </c>
      <c r="M32" s="249" t="b">
        <f>ISTEXT(E32)</f>
        <v>1</v>
      </c>
      <c r="N32" s="249"/>
      <c r="O32" s="249"/>
    </row>
    <row r="33" spans="1:17" ht="15" x14ac:dyDescent="0.25">
      <c r="A33" s="285"/>
      <c r="B33" s="376"/>
      <c r="C33" s="373"/>
      <c r="D33" s="373"/>
      <c r="E33" s="373"/>
      <c r="F33" s="378"/>
      <c r="J33" s="247" t="s">
        <v>19</v>
      </c>
      <c r="K33" s="251" t="b">
        <f>IF(C27="Išbraukti esamą projektą",TRUE,FALSE)</f>
        <v>0</v>
      </c>
      <c r="L33" s="249"/>
      <c r="M33" s="249"/>
      <c r="N33" s="249"/>
      <c r="O33" s="249"/>
    </row>
    <row r="34" spans="1:17" ht="98.25" customHeight="1" x14ac:dyDescent="0.2">
      <c r="A34" s="285"/>
      <c r="B34" s="376"/>
      <c r="C34" s="540" t="s">
        <v>20</v>
      </c>
      <c r="D34" s="568" t="s">
        <v>1027</v>
      </c>
      <c r="E34" s="568"/>
      <c r="F34" s="569"/>
      <c r="H34" s="268">
        <f>LEN(D34)</f>
        <v>652</v>
      </c>
      <c r="L34" s="249"/>
      <c r="M34" s="249"/>
      <c r="N34" s="249"/>
      <c r="O34" s="249"/>
    </row>
    <row r="35" spans="1:17" ht="15" x14ac:dyDescent="0.25">
      <c r="A35" s="285"/>
      <c r="B35" s="376"/>
      <c r="C35" s="373"/>
      <c r="D35" s="398"/>
      <c r="E35" s="398"/>
      <c r="F35" s="399"/>
      <c r="H35" s="274"/>
    </row>
    <row r="36" spans="1:17" ht="15" x14ac:dyDescent="0.25">
      <c r="A36" s="285"/>
      <c r="B36" s="394"/>
      <c r="C36" s="400" t="s">
        <v>21</v>
      </c>
      <c r="D36" s="401"/>
      <c r="E36" s="386"/>
      <c r="F36" s="378"/>
      <c r="H36" s="274"/>
      <c r="K36" s="267"/>
    </row>
    <row r="37" spans="1:17" ht="15" x14ac:dyDescent="0.25">
      <c r="A37" s="285"/>
      <c r="B37" s="394"/>
      <c r="C37" s="373"/>
      <c r="D37" s="373"/>
      <c r="E37" s="373"/>
      <c r="F37" s="378"/>
      <c r="H37" s="276"/>
      <c r="K37" s="267"/>
    </row>
    <row r="38" spans="1:17" ht="15.75" thickBot="1" x14ac:dyDescent="0.3">
      <c r="A38" s="285"/>
      <c r="B38" s="402"/>
      <c r="C38" s="403"/>
      <c r="D38" s="404"/>
      <c r="E38" s="404"/>
      <c r="F38" s="405"/>
      <c r="H38" s="248"/>
    </row>
    <row r="39" spans="1:17" ht="18.95" customHeight="1" thickBot="1" x14ac:dyDescent="0.25">
      <c r="A39" s="285"/>
      <c r="B39" s="542"/>
      <c r="C39" s="570" t="str">
        <f>IF(K33,"Pasirinkote išbraukti esamą projektą, toliau prašome nepildyti (ištrinti)","")</f>
        <v/>
      </c>
      <c r="D39" s="570"/>
      <c r="E39" s="570"/>
      <c r="F39" s="464"/>
      <c r="H39" s="248"/>
    </row>
    <row r="40" spans="1:17" ht="18.95" customHeight="1" x14ac:dyDescent="0.2">
      <c r="A40" s="285"/>
      <c r="B40" s="543"/>
      <c r="C40" s="465"/>
      <c r="D40" s="465"/>
      <c r="E40" s="465"/>
      <c r="F40" s="544"/>
      <c r="H40" s="248"/>
    </row>
    <row r="41" spans="1:17" ht="16.5" thickBot="1" x14ac:dyDescent="0.25">
      <c r="A41" s="285"/>
      <c r="B41" s="545" t="s">
        <v>1013</v>
      </c>
      <c r="C41" s="247"/>
      <c r="D41" s="247"/>
      <c r="E41" s="247"/>
      <c r="F41" s="546"/>
      <c r="H41" s="248"/>
    </row>
    <row r="42" spans="1:17" x14ac:dyDescent="0.2">
      <c r="A42" s="285"/>
      <c r="B42" s="284"/>
      <c r="C42" s="289" t="str">
        <f>IF($K$33,"Nepildoma","")</f>
        <v/>
      </c>
      <c r="D42" s="289"/>
      <c r="E42" s="289"/>
      <c r="F42" s="355"/>
      <c r="H42" s="248"/>
      <c r="J42" s="537" t="b">
        <v>1</v>
      </c>
      <c r="L42" s="247" t="b">
        <f t="shared" ref="L42:M44" si="1">NOT(ISBLANK(D46))</f>
        <v>1</v>
      </c>
      <c r="M42" s="247" t="b">
        <f t="shared" si="1"/>
        <v>1</v>
      </c>
      <c r="N42" s="247">
        <f t="shared" ref="N42:N45" si="2">COUNTIF(J42:M42,TRUE)</f>
        <v>3</v>
      </c>
      <c r="O42" s="247" t="b">
        <f t="shared" ref="O42:O45" si="3">IF(N42=0,TRUE,FALSE)</f>
        <v>0</v>
      </c>
      <c r="P42" s="248" t="b">
        <f t="shared" ref="P42:P44" si="4">IF(N42=3,TRUE,FALSE)</f>
        <v>1</v>
      </c>
      <c r="Q42" s="248" t="b">
        <f>OR(O42:P42)</f>
        <v>1</v>
      </c>
    </row>
    <row r="43" spans="1:17" ht="15.95" customHeight="1" x14ac:dyDescent="0.2">
      <c r="A43" s="285"/>
      <c r="B43" s="376"/>
      <c r="C43" s="401" t="str">
        <f>IF($C$42="Nepildoma","","Plano uždavinio ir (ar) priemonės keitimo būdas (reikalingą pažymėkite)")</f>
        <v>Plano uždavinio ir (ar) priemonės keitimo būdas (reikalingą pažymėkite)</v>
      </c>
      <c r="D43" s="386"/>
      <c r="E43" s="386"/>
      <c r="F43" s="406"/>
      <c r="H43" s="248"/>
      <c r="J43" s="537" t="b">
        <v>0</v>
      </c>
      <c r="L43" s="247" t="b">
        <f t="shared" si="1"/>
        <v>0</v>
      </c>
      <c r="M43" s="247" t="b">
        <f t="shared" si="1"/>
        <v>0</v>
      </c>
      <c r="N43" s="247">
        <f t="shared" si="2"/>
        <v>0</v>
      </c>
      <c r="O43" s="247" t="b">
        <f t="shared" si="3"/>
        <v>1</v>
      </c>
      <c r="P43" s="248" t="b">
        <f t="shared" si="4"/>
        <v>0</v>
      </c>
      <c r="Q43" s="248" t="b">
        <f>OR(O43:P43)</f>
        <v>1</v>
      </c>
    </row>
    <row r="44" spans="1:17" ht="15" x14ac:dyDescent="0.2">
      <c r="A44" s="285"/>
      <c r="B44" s="376"/>
      <c r="C44" s="538"/>
      <c r="D44" s="386"/>
      <c r="E44" s="386"/>
      <c r="F44" s="406"/>
      <c r="H44" s="248"/>
      <c r="J44" s="537" t="b">
        <v>1</v>
      </c>
      <c r="L44" s="247" t="b">
        <f t="shared" si="1"/>
        <v>1</v>
      </c>
      <c r="M44" s="247" t="b">
        <f t="shared" si="1"/>
        <v>1</v>
      </c>
      <c r="N44" s="247">
        <f t="shared" si="2"/>
        <v>3</v>
      </c>
      <c r="O44" s="247" t="b">
        <f t="shared" si="3"/>
        <v>0</v>
      </c>
      <c r="P44" s="248" t="b">
        <f t="shared" si="4"/>
        <v>1</v>
      </c>
      <c r="Q44" s="248" t="b">
        <f t="shared" ref="Q44:Q45" si="5">OR(O44:P44)</f>
        <v>1</v>
      </c>
    </row>
    <row r="45" spans="1:17" ht="15" x14ac:dyDescent="0.2">
      <c r="A45" s="285"/>
      <c r="B45" s="407"/>
      <c r="C45" s="381"/>
      <c r="D45" s="539" t="str">
        <f>IF($C$42="Nepildoma","","Numeris")</f>
        <v>Numeris</v>
      </c>
      <c r="E45" s="539" t="str">
        <f>IF($C$42="Nepildoma","","Pavadinimas")</f>
        <v>Pavadinimas</v>
      </c>
      <c r="F45" s="409"/>
      <c r="H45" s="248"/>
      <c r="J45" s="537" t="b">
        <v>0</v>
      </c>
      <c r="M45" s="247" t="b">
        <f>NOT(ISBLANK(E49))</f>
        <v>0</v>
      </c>
      <c r="N45" s="247">
        <f t="shared" si="2"/>
        <v>0</v>
      </c>
      <c r="O45" s="247" t="b">
        <f t="shared" si="3"/>
        <v>1</v>
      </c>
      <c r="P45" s="248" t="b">
        <f>IF(N45=2,TRUE,FALSE)</f>
        <v>0</v>
      </c>
      <c r="Q45" s="248" t="b">
        <f t="shared" si="5"/>
        <v>1</v>
      </c>
    </row>
    <row r="46" spans="1:17" ht="78" customHeight="1" x14ac:dyDescent="0.2">
      <c r="A46" s="285"/>
      <c r="B46" s="536"/>
      <c r="C46" s="410" t="str">
        <f>IF($C$42="Nepildoma","","Projektą priskirti esamam uždaviniui")</f>
        <v>Projektą priskirti esamam uždaviniui</v>
      </c>
      <c r="D46" s="549" t="s">
        <v>1029</v>
      </c>
      <c r="E46" s="549" t="s">
        <v>1030</v>
      </c>
      <c r="F46" s="411" t="str">
        <f>IF($C$42="Nepildoma","",IF(J42,"←Nurodykite esamo uždavinio numerį ir pavadinimą",""))</f>
        <v>←Nurodykite esamo uždavinio numerį ir pavadinimą</v>
      </c>
      <c r="H46" s="248"/>
      <c r="J46" s="247">
        <f>COUNTIF(J42:J45,TRUE)</f>
        <v>2</v>
      </c>
      <c r="Q46" s="248" t="b">
        <f>AND(Q42:Q45)</f>
        <v>1</v>
      </c>
    </row>
    <row r="47" spans="1:17" ht="43.15" customHeight="1" x14ac:dyDescent="0.2">
      <c r="A47" s="285"/>
      <c r="B47" s="536"/>
      <c r="C47" s="410" t="str">
        <f>IF($C$42="Nepildoma","","Nustatyti naują uždavinį")</f>
        <v>Nustatyti naują uždavinį</v>
      </c>
      <c r="D47" s="549"/>
      <c r="E47" s="549"/>
      <c r="F47" s="411" t="str">
        <f>IF($C$42="Nepildoma","",IF(J43,"←Nurodykite esamo tikslo (kuriam priskirtinas naujas uždavinys) numerį ir siūlomą naujo uždavinio pavadinimą",""))</f>
        <v/>
      </c>
      <c r="H47" s="248"/>
      <c r="K47" s="247" t="b">
        <f>IF(MOD(J42+J43,2)=1,TRUE,FALSE)</f>
        <v>1</v>
      </c>
      <c r="M47" s="247" t="str">
        <f t="shared" ref="M47:M50" si="6">LEFT(D46,4)</f>
        <v>1.1.</v>
      </c>
      <c r="N47" s="247" t="b">
        <f>OR(M47=M49,M47=M50)</f>
        <v>1</v>
      </c>
    </row>
    <row r="48" spans="1:17" ht="43.15" customHeight="1" x14ac:dyDescent="0.2">
      <c r="A48" s="285"/>
      <c r="B48" s="536"/>
      <c r="C48" s="410" t="str">
        <f>IF($C$42="Nepildoma","","Projektą priskirti esamai priemonei")</f>
        <v>Projektą priskirti esamai priemonei</v>
      </c>
      <c r="D48" s="549" t="s">
        <v>1031</v>
      </c>
      <c r="E48" s="549" t="s">
        <v>1032</v>
      </c>
      <c r="F48" s="411" t="str">
        <f>IF($C$42="Nepildoma","",IF(J44,"←Nurodykite esamos priemonės numerį ir pavadinimą",""))</f>
        <v>←Nurodykite esamos priemonės numerį ir pavadinimą</v>
      </c>
      <c r="H48" s="248"/>
      <c r="K48" s="247" t="b">
        <f>IF(MOD(J44+J45,2)=1,TRUE,FALSE)</f>
        <v>1</v>
      </c>
      <c r="M48" s="247" t="str">
        <f t="shared" si="6"/>
        <v/>
      </c>
      <c r="N48" s="247" t="b">
        <f>OR(M48=M50,LEN(M48)=0)</f>
        <v>1</v>
      </c>
    </row>
    <row r="49" spans="1:21" ht="43.15" customHeight="1" x14ac:dyDescent="0.2">
      <c r="A49" s="285"/>
      <c r="B49" s="536"/>
      <c r="C49" s="410" t="str">
        <f>IF($C$42="Nepildoma","","Nustatyti naują priemonę")</f>
        <v>Nustatyti naują priemonę</v>
      </c>
      <c r="D49" s="521"/>
      <c r="E49" s="521"/>
      <c r="F49" s="411" t="str">
        <f>IF($C$42="Nepildoma","",IF(J45,"←Nurodykite siūlomos naujos priemonės pavadinimą",""))</f>
        <v/>
      </c>
      <c r="H49" s="248"/>
      <c r="K49" s="247" t="b">
        <f>AND(K47:K48,K50)</f>
        <v>1</v>
      </c>
      <c r="M49" s="247" t="str">
        <f t="shared" si="6"/>
        <v>1.1.</v>
      </c>
      <c r="N49" s="247" t="b">
        <f>AND(N47,N48)</f>
        <v>1</v>
      </c>
    </row>
    <row r="50" spans="1:21" ht="15" x14ac:dyDescent="0.2">
      <c r="A50" s="285"/>
      <c r="B50" s="376"/>
      <c r="C50" s="538"/>
      <c r="D50" s="386"/>
      <c r="E50" s="386"/>
      <c r="F50" s="406"/>
      <c r="H50" s="248"/>
      <c r="J50" s="267"/>
      <c r="K50" s="267" t="b">
        <f>NOT(AND(J43:J44))</f>
        <v>1</v>
      </c>
      <c r="M50" s="247" t="str">
        <f t="shared" si="6"/>
        <v/>
      </c>
    </row>
    <row r="51" spans="1:21" ht="15" x14ac:dyDescent="0.2">
      <c r="A51" s="285"/>
      <c r="B51" s="376"/>
      <c r="C51" s="412" t="s">
        <v>21</v>
      </c>
      <c r="D51" s="413"/>
      <c r="E51" s="414"/>
      <c r="F51" s="415"/>
      <c r="H51" s="248"/>
      <c r="J51" s="267"/>
      <c r="K51" s="267"/>
    </row>
    <row r="52" spans="1:21" ht="15.75" thickBot="1" x14ac:dyDescent="0.3">
      <c r="A52" s="285"/>
      <c r="B52" s="390"/>
      <c r="C52" s="416"/>
      <c r="D52" s="403"/>
      <c r="E52" s="417"/>
      <c r="F52" s="418"/>
      <c r="H52" s="248"/>
      <c r="J52" s="267"/>
      <c r="K52" s="267"/>
    </row>
    <row r="53" spans="1:21" ht="15" x14ac:dyDescent="0.25">
      <c r="A53" s="285"/>
      <c r="B53" s="474"/>
      <c r="C53" s="475"/>
      <c r="D53" s="438"/>
      <c r="E53" s="476"/>
      <c r="F53" s="476"/>
      <c r="H53" s="248"/>
      <c r="J53" s="267"/>
      <c r="K53" s="267"/>
    </row>
    <row r="54" spans="1:21" s="473" customFormat="1" ht="14.1" customHeight="1" thickBot="1" x14ac:dyDescent="0.3">
      <c r="A54" s="466"/>
      <c r="B54" s="367" t="s">
        <v>997</v>
      </c>
      <c r="C54" s="361"/>
      <c r="D54" s="467"/>
      <c r="E54" s="468"/>
      <c r="F54" s="468"/>
      <c r="G54" s="469"/>
      <c r="H54" s="470"/>
      <c r="I54" s="471"/>
      <c r="J54" s="472"/>
      <c r="K54" s="471"/>
      <c r="L54" s="471"/>
      <c r="M54" s="471"/>
      <c r="N54" s="471"/>
      <c r="O54" s="471"/>
    </row>
    <row r="55" spans="1:21" ht="24" customHeight="1" x14ac:dyDescent="0.25">
      <c r="A55" s="285"/>
      <c r="B55" s="368"/>
      <c r="C55" s="370" t="str">
        <f>IF($K$33,"Nepildoma","")</f>
        <v/>
      </c>
      <c r="D55" s="392"/>
      <c r="E55" s="420"/>
      <c r="F55" s="421"/>
      <c r="H55" s="274"/>
      <c r="J55" s="252"/>
    </row>
    <row r="56" spans="1:21" ht="18" customHeight="1" x14ac:dyDescent="0.2">
      <c r="A56" s="285"/>
      <c r="B56" s="376"/>
      <c r="C56" s="401" t="str">
        <f>IF($C$55="Nepildoma","","Projekto pavadinimas ir požymiai Plane (pasirinkite arba užpildykite)")</f>
        <v>Projekto pavadinimas ir požymiai Plane (pasirinkite arba užpildykite)</v>
      </c>
      <c r="D56" s="386"/>
      <c r="E56" s="385"/>
      <c r="F56" s="422"/>
      <c r="H56" s="274"/>
      <c r="I56" s="252"/>
      <c r="J56" s="252"/>
    </row>
    <row r="57" spans="1:21" ht="15" x14ac:dyDescent="0.2">
      <c r="A57" s="285"/>
      <c r="B57" s="376"/>
      <c r="C57" s="389"/>
      <c r="D57" s="571"/>
      <c r="E57" s="571"/>
      <c r="F57" s="409"/>
    </row>
    <row r="58" spans="1:21" ht="81" customHeight="1" x14ac:dyDescent="0.2">
      <c r="A58" s="285"/>
      <c r="B58" s="423"/>
      <c r="C58" s="424" t="str">
        <f>IF($C$55="Nepildoma","","Projekto pavadinimas (iki 150 spaudos ženklų):")</f>
        <v>Projekto pavadinimas (iki 150 spaudos ženklų):</v>
      </c>
      <c r="D58" s="555" t="s">
        <v>1026</v>
      </c>
      <c r="E58" s="556"/>
      <c r="F58" s="425" t="str">
        <f>IF($C$55="Nepildoma","","Jūsų įvesto projekto pavadinimo spaudos ženklai – "&amp;LEN(D58))</f>
        <v>Jūsų įvesto projekto pavadinimo spaudos ženklai – 65</v>
      </c>
      <c r="H58" s="273" t="b">
        <f>NOT(ISBLANK(D58))</f>
        <v>1</v>
      </c>
      <c r="L58" s="267"/>
      <c r="M58" s="267" t="s">
        <v>26</v>
      </c>
      <c r="N58" s="267" t="s">
        <v>27</v>
      </c>
      <c r="O58" s="267"/>
      <c r="P58" s="267"/>
      <c r="Q58" s="267"/>
      <c r="R58" s="267"/>
      <c r="S58" s="267"/>
      <c r="T58" s="267"/>
    </row>
    <row r="59" spans="1:21" ht="29.1" customHeight="1" x14ac:dyDescent="0.2">
      <c r="A59" s="285"/>
      <c r="B59" s="423"/>
      <c r="C59" s="424" t="str">
        <f>IF(LEN(D58)&gt;150,"Projekto pavadinimas viršija 150 spaudos ženklų, nurodykite santrumpą →","")</f>
        <v/>
      </c>
      <c r="D59" s="582"/>
      <c r="E59" s="583"/>
      <c r="F59" s="425" t="str">
        <f>IF(LEN(D59)&gt;0,"Jūsų įvestos projekto pavadinimo santrumpos spaudos ženklai – "&amp;LEN(D59),"")</f>
        <v/>
      </c>
      <c r="H59" s="273"/>
      <c r="L59" s="267"/>
      <c r="M59" s="267" t="b">
        <f>IF((LEN(D58)&gt;150),TRUE,FALSE)</f>
        <v>0</v>
      </c>
      <c r="N59" s="267" t="b">
        <f>IF(D59&lt;&gt;"",TRUE,FALSE)</f>
        <v>0</v>
      </c>
      <c r="O59" s="267">
        <f>COUNTIF(M59,TRUE)</f>
        <v>0</v>
      </c>
      <c r="P59" s="267">
        <f>COUNTIF(N59,TRUE)</f>
        <v>0</v>
      </c>
      <c r="Q59" s="267" t="b">
        <f>IF(P59-O59&lt;0,FALSE,TRUE)</f>
        <v>1</v>
      </c>
      <c r="R59" s="267"/>
      <c r="S59" s="267"/>
      <c r="T59" s="267"/>
    </row>
    <row r="60" spans="1:21" ht="123.75" customHeight="1" x14ac:dyDescent="0.2">
      <c r="A60" s="285"/>
      <c r="B60" s="423"/>
      <c r="C60" s="424" t="str">
        <f>IF($C$55="Nepildoma","","Trumpas projekto veiklų aprašymas (iki 700 spaudos ženklų")</f>
        <v>Trumpas projekto veiklų aprašymas (iki 700 spaudos ženklų</v>
      </c>
      <c r="D60" s="582" t="s">
        <v>1033</v>
      </c>
      <c r="E60" s="583"/>
      <c r="F60" s="425" t="str">
        <f>IF($C$55="Nepildoma","","Jūsų įvesto projekto aprašymo spaudos ženklai – "&amp;LEN(D60))</f>
        <v>Jūsų įvesto projekto aprašymo spaudos ženklai – 536</v>
      </c>
      <c r="H60" s="273" t="b">
        <f>NOT(ISBLANK(D60))</f>
        <v>1</v>
      </c>
      <c r="L60" s="267"/>
      <c r="M60" s="267"/>
      <c r="N60" s="267"/>
      <c r="O60" s="267"/>
      <c r="P60" s="267"/>
      <c r="Q60" s="267"/>
      <c r="R60" s="267"/>
      <c r="S60" s="267"/>
      <c r="T60" s="267"/>
    </row>
    <row r="61" spans="1:21" ht="15" x14ac:dyDescent="0.2">
      <c r="A61" s="285"/>
      <c r="B61" s="376"/>
      <c r="C61" s="386"/>
      <c r="D61" s="380"/>
      <c r="E61" s="380"/>
      <c r="F61" s="426"/>
      <c r="H61" s="273"/>
      <c r="L61" s="267"/>
      <c r="M61" s="267" t="s">
        <v>28</v>
      </c>
      <c r="N61" s="267" t="s">
        <v>29</v>
      </c>
      <c r="O61" s="267" t="s">
        <v>30</v>
      </c>
      <c r="P61" s="267" t="s">
        <v>31</v>
      </c>
      <c r="Q61" s="267" t="s">
        <v>32</v>
      </c>
      <c r="R61" s="267" t="s">
        <v>30</v>
      </c>
      <c r="S61" s="267" t="s">
        <v>33</v>
      </c>
      <c r="T61" s="267" t="s">
        <v>34</v>
      </c>
      <c r="U61" s="248" t="s">
        <v>30</v>
      </c>
    </row>
    <row r="62" spans="1:21" ht="15" x14ac:dyDescent="0.2">
      <c r="A62" s="285"/>
      <c r="B62" s="376"/>
      <c r="C62" s="382"/>
      <c r="D62" s="380"/>
      <c r="E62" s="380"/>
      <c r="F62" s="427"/>
      <c r="H62" s="273"/>
      <c r="L62" s="267"/>
      <c r="M62" s="267" t="b">
        <f>ISNUMBER(FIND("-R",D67,1))</f>
        <v>0</v>
      </c>
      <c r="N62" s="267" t="b">
        <f>ISNUMBER(SEARCH("R",D68,1))</f>
        <v>0</v>
      </c>
      <c r="O62" s="267" t="b">
        <f>AND(M62:N62)</f>
        <v>0</v>
      </c>
      <c r="P62" s="267" t="b">
        <f>ISNUMBER(FIND("-V-",D67,1))</f>
        <v>0</v>
      </c>
      <c r="Q62" s="267" t="b">
        <f>ISNUMBER(FIND("V",D68,1))</f>
        <v>0</v>
      </c>
      <c r="R62" s="267" t="b">
        <f>AND(P62,Q62)</f>
        <v>0</v>
      </c>
      <c r="S62" s="267" t="b">
        <f>NOT(OR(M62,P62))</f>
        <v>1</v>
      </c>
      <c r="T62" s="267" t="b">
        <f>ISNUMBER(FIND("–",D68,1))</f>
        <v>1</v>
      </c>
      <c r="U62" s="248" t="b">
        <f>AND(S62,T62)</f>
        <v>1</v>
      </c>
    </row>
    <row r="63" spans="1:21" ht="15" x14ac:dyDescent="0.2">
      <c r="A63" s="285"/>
      <c r="B63" s="376"/>
      <c r="C63" s="381"/>
      <c r="D63" s="397" t="str">
        <f>IF($C$55="Nepildoma","","D")</f>
        <v>D</v>
      </c>
      <c r="E63" s="397" t="str">
        <f>IF($C$55="Nepildoma","","E")</f>
        <v>E</v>
      </c>
      <c r="F63" s="428"/>
      <c r="H63" s="273"/>
      <c r="L63" s="267" t="s">
        <v>35</v>
      </c>
      <c r="M63" s="267" t="e">
        <f>SEARCH("ITI",D69,1)</f>
        <v>#VALUE!</v>
      </c>
      <c r="N63" s="267"/>
      <c r="O63" s="267"/>
      <c r="P63" s="267"/>
      <c r="Q63" s="267"/>
      <c r="R63" s="267"/>
      <c r="S63" s="267"/>
      <c r="T63" s="267"/>
    </row>
    <row r="64" spans="1:21" ht="50.45" customHeight="1" x14ac:dyDescent="0.2">
      <c r="A64" s="285"/>
      <c r="B64" s="376"/>
      <c r="C64" s="429" t="str">
        <f>IF($C$55="Nepildoma","","Pareiškėjas / projekto vykdytojas")</f>
        <v>Pareiškėjas / projekto vykdytojas</v>
      </c>
      <c r="D64" s="522" t="s">
        <v>1028</v>
      </c>
      <c r="E64" s="430"/>
      <c r="F64" s="431" t="str">
        <f>IF($C$55="Nepildoma","","←Įrašykite D stulpelyje")</f>
        <v>←Įrašykite D stulpelyje</v>
      </c>
      <c r="H64" s="273" t="b">
        <f t="shared" ref="H64:H70" si="7">NOT(ISBLANK(D64))</f>
        <v>1</v>
      </c>
      <c r="L64" s="267"/>
      <c r="M64" s="267" t="b">
        <f>IF(IFERROR(M63,FALSE),TRUE,FALSE)</f>
        <v>0</v>
      </c>
      <c r="N64" s="267"/>
      <c r="O64" s="267"/>
      <c r="P64" s="267"/>
      <c r="Q64" s="267"/>
      <c r="R64" s="267"/>
      <c r="S64" s="267"/>
      <c r="T64" s="267"/>
    </row>
    <row r="65" spans="1:256" s="278" customFormat="1" ht="60.75" customHeight="1" x14ac:dyDescent="0.2">
      <c r="A65" s="287"/>
      <c r="B65" s="432"/>
      <c r="C65" s="424" t="str">
        <f>IF($C$55="Nepildoma","","Ministerija (asignavimų valdytojas)")</f>
        <v>Ministerija (asignavimų valdytojas)</v>
      </c>
      <c r="D65" s="523"/>
      <c r="E65" s="525"/>
      <c r="F65" s="433" t="str">
        <f>IF($C$55="Nepildoma","","←Pasirinkite ministeriją iš sąrašo (D stulpelis);  „–“ – bet kuris kitas asignavimų valdytojas  (nurodykite E stulpelyje)")</f>
        <v>←Pasirinkite ministeriją iš sąrašo (D stulpelis);  „–“ – bet kuris kitas asignavimų valdytojas  (nurodykite E stulpelyje)</v>
      </c>
      <c r="H65" s="274" t="b">
        <f t="shared" si="7"/>
        <v>0</v>
      </c>
      <c r="I65" s="267">
        <f>IF(K32=TRUE,IF(D65=J65,0,1),0)</f>
        <v>0</v>
      </c>
      <c r="J65" s="249" t="str">
        <f>IFERROR((INDEX(sąrašai!J73:J84,sąrašai!I73,1)),"")</f>
        <v/>
      </c>
      <c r="K65" s="253"/>
      <c r="L65" s="278" t="b">
        <f>(ISNUMBER(FIND("ITI",D69,1)))</f>
        <v>0</v>
      </c>
      <c r="M65" s="253"/>
      <c r="U65" s="254"/>
      <c r="V65" s="254"/>
      <c r="W65" s="254"/>
      <c r="X65" s="254"/>
      <c r="Y65" s="254"/>
      <c r="Z65" s="254"/>
      <c r="AA65" s="254"/>
      <c r="AB65" s="254"/>
      <c r="AC65" s="254"/>
      <c r="AD65" s="254"/>
      <c r="AE65" s="254"/>
      <c r="AF65" s="254"/>
      <c r="AG65" s="254"/>
      <c r="AH65" s="254"/>
      <c r="AI65" s="254"/>
      <c r="AJ65" s="254"/>
      <c r="AK65" s="254"/>
      <c r="AL65" s="254"/>
      <c r="AM65" s="254"/>
      <c r="AN65" s="254"/>
      <c r="AO65" s="254"/>
      <c r="AP65" s="254"/>
      <c r="AQ65" s="254"/>
      <c r="AR65" s="254"/>
      <c r="AS65" s="254"/>
      <c r="AT65" s="254"/>
      <c r="AU65" s="254"/>
      <c r="AV65" s="254"/>
      <c r="AW65" s="254"/>
      <c r="AX65" s="254"/>
      <c r="AY65" s="254"/>
      <c r="AZ65" s="254"/>
      <c r="BA65" s="254"/>
      <c r="BB65" s="254"/>
      <c r="BC65" s="254"/>
      <c r="BD65" s="254"/>
      <c r="BE65" s="254"/>
      <c r="BF65" s="254"/>
      <c r="BG65" s="254"/>
      <c r="BH65" s="254"/>
      <c r="BI65" s="254"/>
      <c r="BJ65" s="254"/>
      <c r="BK65" s="254"/>
      <c r="BL65" s="254"/>
      <c r="BM65" s="254"/>
      <c r="BN65" s="254"/>
      <c r="BO65" s="254"/>
      <c r="BP65" s="254"/>
      <c r="BQ65" s="254"/>
      <c r="BR65" s="254"/>
      <c r="BS65" s="254"/>
      <c r="BT65" s="254"/>
      <c r="BU65" s="254"/>
      <c r="BV65" s="254"/>
      <c r="BW65" s="254"/>
      <c r="BX65" s="254"/>
      <c r="BY65" s="254"/>
      <c r="BZ65" s="254"/>
      <c r="CA65" s="254"/>
      <c r="CB65" s="254"/>
      <c r="CC65" s="254"/>
      <c r="CD65" s="254"/>
      <c r="CE65" s="254"/>
      <c r="CF65" s="254"/>
      <c r="CG65" s="254"/>
      <c r="CH65" s="254"/>
      <c r="CI65" s="254"/>
      <c r="CJ65" s="254"/>
      <c r="CK65" s="254"/>
      <c r="CL65" s="254"/>
      <c r="CM65" s="254"/>
      <c r="CN65" s="254"/>
      <c r="CO65" s="254"/>
      <c r="CP65" s="254"/>
      <c r="CQ65" s="254"/>
      <c r="CR65" s="254"/>
      <c r="CS65" s="254"/>
      <c r="CT65" s="254"/>
      <c r="CU65" s="254"/>
      <c r="CV65" s="254"/>
      <c r="CW65" s="254"/>
      <c r="CX65" s="254"/>
      <c r="CY65" s="254"/>
      <c r="CZ65" s="254"/>
      <c r="DA65" s="254"/>
      <c r="DB65" s="254"/>
      <c r="DC65" s="254"/>
      <c r="DD65" s="254"/>
      <c r="DE65" s="254"/>
      <c r="DF65" s="254"/>
      <c r="DG65" s="254"/>
      <c r="DH65" s="254"/>
      <c r="DI65" s="254"/>
      <c r="DJ65" s="254"/>
      <c r="DK65" s="254"/>
      <c r="DL65" s="254"/>
      <c r="DM65" s="254"/>
      <c r="DN65" s="254"/>
      <c r="DO65" s="254"/>
      <c r="DP65" s="254"/>
      <c r="DQ65" s="254"/>
      <c r="DR65" s="254"/>
      <c r="DS65" s="254"/>
      <c r="DT65" s="254"/>
      <c r="DU65" s="254"/>
      <c r="DV65" s="254"/>
      <c r="DW65" s="254"/>
      <c r="DX65" s="254"/>
      <c r="DY65" s="254"/>
      <c r="DZ65" s="254"/>
      <c r="EA65" s="254"/>
      <c r="EB65" s="254"/>
      <c r="EC65" s="254"/>
      <c r="ED65" s="254"/>
      <c r="EE65" s="254"/>
      <c r="EF65" s="254"/>
      <c r="EG65" s="254"/>
      <c r="EH65" s="254"/>
      <c r="EI65" s="254"/>
      <c r="EJ65" s="254"/>
      <c r="EK65" s="254"/>
      <c r="EL65" s="254"/>
      <c r="EM65" s="254"/>
      <c r="EN65" s="254"/>
      <c r="EO65" s="254"/>
      <c r="EP65" s="254"/>
      <c r="EQ65" s="254"/>
      <c r="ER65" s="254"/>
      <c r="ES65" s="254"/>
      <c r="ET65" s="254"/>
      <c r="EU65" s="254"/>
      <c r="EV65" s="254"/>
      <c r="EW65" s="254"/>
      <c r="EX65" s="254"/>
      <c r="EY65" s="254"/>
      <c r="EZ65" s="254"/>
      <c r="FA65" s="254"/>
      <c r="FB65" s="254"/>
      <c r="FC65" s="254"/>
      <c r="FD65" s="254"/>
      <c r="FE65" s="254"/>
      <c r="FF65" s="254"/>
      <c r="FG65" s="254"/>
      <c r="FH65" s="254"/>
      <c r="FI65" s="254"/>
      <c r="FJ65" s="254"/>
      <c r="FK65" s="254"/>
      <c r="FL65" s="254"/>
      <c r="FM65" s="254"/>
      <c r="FN65" s="254"/>
      <c r="FO65" s="254"/>
      <c r="FP65" s="254"/>
      <c r="FQ65" s="254"/>
      <c r="FR65" s="254"/>
      <c r="FS65" s="254"/>
      <c r="FT65" s="254"/>
      <c r="FU65" s="254"/>
      <c r="FV65" s="254"/>
      <c r="FW65" s="254"/>
      <c r="FX65" s="254"/>
      <c r="FY65" s="254"/>
      <c r="FZ65" s="254"/>
      <c r="GA65" s="254"/>
      <c r="GB65" s="254"/>
      <c r="GC65" s="254"/>
      <c r="GD65" s="254"/>
      <c r="GE65" s="254"/>
      <c r="GF65" s="254"/>
      <c r="GG65" s="254"/>
      <c r="GH65" s="254"/>
      <c r="GI65" s="254"/>
      <c r="GJ65" s="254"/>
      <c r="GK65" s="254"/>
      <c r="GL65" s="254"/>
      <c r="GM65" s="254"/>
      <c r="GN65" s="254"/>
      <c r="GO65" s="254"/>
      <c r="GP65" s="254"/>
      <c r="GQ65" s="254"/>
      <c r="GR65" s="254"/>
      <c r="GS65" s="254"/>
      <c r="GT65" s="254"/>
      <c r="GU65" s="254"/>
      <c r="GV65" s="254"/>
      <c r="GW65" s="254"/>
      <c r="GX65" s="254"/>
      <c r="GY65" s="254"/>
      <c r="GZ65" s="254"/>
      <c r="HA65" s="254"/>
      <c r="HB65" s="254"/>
      <c r="HC65" s="254"/>
      <c r="HD65" s="254"/>
      <c r="HE65" s="254"/>
      <c r="HF65" s="254"/>
      <c r="HG65" s="254"/>
      <c r="HH65" s="254"/>
      <c r="HI65" s="254"/>
      <c r="HJ65" s="254"/>
      <c r="HK65" s="254"/>
      <c r="HL65" s="254"/>
      <c r="HM65" s="254"/>
      <c r="HN65" s="254"/>
      <c r="HO65" s="254"/>
      <c r="HP65" s="254"/>
      <c r="HQ65" s="254"/>
      <c r="HR65" s="254"/>
      <c r="HS65" s="254"/>
      <c r="HT65" s="254"/>
      <c r="HU65" s="254"/>
      <c r="HV65" s="254"/>
      <c r="HW65" s="254"/>
      <c r="HX65" s="254"/>
      <c r="HY65" s="254"/>
      <c r="HZ65" s="254"/>
      <c r="IA65" s="254"/>
      <c r="IB65" s="254"/>
      <c r="IC65" s="254"/>
      <c r="ID65" s="254"/>
      <c r="IE65" s="254"/>
      <c r="IF65" s="254"/>
      <c r="IG65" s="254"/>
      <c r="IH65" s="254"/>
      <c r="II65" s="254"/>
      <c r="IJ65" s="254"/>
      <c r="IK65" s="254"/>
      <c r="IL65" s="254"/>
      <c r="IM65" s="254"/>
      <c r="IN65" s="254"/>
      <c r="IO65" s="254"/>
      <c r="IP65" s="254"/>
      <c r="IQ65" s="254"/>
      <c r="IR65" s="254"/>
      <c r="IS65" s="254"/>
      <c r="IT65" s="254"/>
      <c r="IU65" s="254"/>
      <c r="IV65" s="254"/>
    </row>
    <row r="66" spans="1:256" s="278" customFormat="1" ht="107.25" customHeight="1" x14ac:dyDescent="0.2">
      <c r="A66" s="287"/>
      <c r="B66" s="432"/>
      <c r="C66" s="424" t="str">
        <f>IF($C$55="Nepildoma","","Įgyvendinimo teritorija")</f>
        <v>Įgyvendinimo teritorija</v>
      </c>
      <c r="D66" s="524" t="s">
        <v>777</v>
      </c>
      <c r="E66" s="526"/>
      <c r="F66" s="433" t="str">
        <f>IF($C$55="Nepildoma","","← Pasirinkite regioną arba savivaldybę iš sąrašo (D stulpelis); Jeigu projektą numatoma įgyvendinti keliose savivaldybėse, bet ne visame regione, nurodykite savivaldybes E stulpelyje atskirdami kabliataškiais ir pasirinkite D stulpelyje")</f>
        <v>← Pasirinkite regioną arba savivaldybę iš sąrašo (D stulpelis); Jeigu projektą numatoma įgyvendinti keliose savivaldybėse, bet ne visame regione, nurodykite savivaldybes E stulpelyje atskirdami kabliataškiais ir pasirinkite D stulpelyje</v>
      </c>
      <c r="H66" s="274" t="b">
        <f t="shared" si="7"/>
        <v>1</v>
      </c>
      <c r="I66" s="253"/>
      <c r="J66" s="253" t="str">
        <f>D12&amp;"_regionas"</f>
        <v>Vilniaus_regionas</v>
      </c>
      <c r="K66" s="253"/>
      <c r="L66" s="278" t="b">
        <f>ISNUMBER(FIND("o",D13,1))</f>
        <v>0</v>
      </c>
      <c r="U66" s="254"/>
      <c r="V66" s="254"/>
      <c r="W66" s="254"/>
      <c r="X66" s="254"/>
      <c r="Y66" s="254"/>
      <c r="Z66" s="254"/>
      <c r="AA66" s="254"/>
      <c r="AB66" s="254"/>
      <c r="AC66" s="254"/>
      <c r="AD66" s="254"/>
      <c r="AE66" s="254"/>
      <c r="AF66" s="254"/>
      <c r="AG66" s="254"/>
      <c r="AH66" s="254"/>
      <c r="AI66" s="254"/>
      <c r="AJ66" s="254"/>
      <c r="AK66" s="254"/>
      <c r="AL66" s="254"/>
      <c r="AM66" s="254"/>
      <c r="AN66" s="254"/>
      <c r="AO66" s="254"/>
      <c r="AP66" s="254"/>
      <c r="AQ66" s="254"/>
      <c r="AR66" s="254"/>
      <c r="AS66" s="254"/>
      <c r="AT66" s="254"/>
      <c r="AU66" s="254"/>
      <c r="AV66" s="254"/>
      <c r="AW66" s="254"/>
      <c r="AX66" s="254"/>
      <c r="AY66" s="254"/>
      <c r="AZ66" s="254"/>
      <c r="BA66" s="254"/>
      <c r="BB66" s="254"/>
      <c r="BC66" s="254"/>
      <c r="BD66" s="254"/>
      <c r="BE66" s="254"/>
      <c r="BF66" s="254"/>
      <c r="BG66" s="254"/>
      <c r="BH66" s="254"/>
      <c r="BI66" s="254"/>
      <c r="BJ66" s="254"/>
      <c r="BK66" s="254"/>
      <c r="BL66" s="254"/>
      <c r="BM66" s="254"/>
      <c r="BN66" s="254"/>
      <c r="BO66" s="254"/>
      <c r="BP66" s="254"/>
      <c r="BQ66" s="254"/>
      <c r="BR66" s="254"/>
      <c r="BS66" s="254"/>
      <c r="BT66" s="254"/>
      <c r="BU66" s="254"/>
      <c r="BV66" s="254"/>
      <c r="BW66" s="254"/>
      <c r="BX66" s="254"/>
      <c r="BY66" s="254"/>
      <c r="BZ66" s="254"/>
      <c r="CA66" s="254"/>
      <c r="CB66" s="254"/>
      <c r="CC66" s="254"/>
      <c r="CD66" s="254"/>
      <c r="CE66" s="254"/>
      <c r="CF66" s="254"/>
      <c r="CG66" s="254"/>
      <c r="CH66" s="254"/>
      <c r="CI66" s="254"/>
      <c r="CJ66" s="254"/>
      <c r="CK66" s="254"/>
      <c r="CL66" s="254"/>
      <c r="CM66" s="254"/>
      <c r="CN66" s="254"/>
      <c r="CO66" s="254"/>
      <c r="CP66" s="254"/>
      <c r="CQ66" s="254"/>
      <c r="CR66" s="254"/>
      <c r="CS66" s="254"/>
      <c r="CT66" s="254"/>
      <c r="CU66" s="254"/>
      <c r="CV66" s="254"/>
      <c r="CW66" s="254"/>
      <c r="CX66" s="254"/>
      <c r="CY66" s="254"/>
      <c r="CZ66" s="254"/>
      <c r="DA66" s="254"/>
      <c r="DB66" s="254"/>
      <c r="DC66" s="254"/>
      <c r="DD66" s="254"/>
      <c r="DE66" s="254"/>
      <c r="DF66" s="254"/>
      <c r="DG66" s="254"/>
      <c r="DH66" s="254"/>
      <c r="DI66" s="254"/>
      <c r="DJ66" s="254"/>
      <c r="DK66" s="254"/>
      <c r="DL66" s="254"/>
      <c r="DM66" s="254"/>
      <c r="DN66" s="254"/>
      <c r="DO66" s="254"/>
      <c r="DP66" s="254"/>
      <c r="DQ66" s="254"/>
      <c r="DR66" s="254"/>
      <c r="DS66" s="254"/>
      <c r="DT66" s="254"/>
      <c r="DU66" s="254"/>
      <c r="DV66" s="254"/>
      <c r="DW66" s="254"/>
      <c r="DX66" s="254"/>
      <c r="DY66" s="254"/>
      <c r="DZ66" s="254"/>
      <c r="EA66" s="254"/>
      <c r="EB66" s="254"/>
      <c r="EC66" s="254"/>
      <c r="ED66" s="254"/>
      <c r="EE66" s="254"/>
      <c r="EF66" s="254"/>
      <c r="EG66" s="254"/>
      <c r="EH66" s="254"/>
      <c r="EI66" s="254"/>
      <c r="EJ66" s="254"/>
      <c r="EK66" s="254"/>
      <c r="EL66" s="254"/>
      <c r="EM66" s="254"/>
      <c r="EN66" s="254"/>
      <c r="EO66" s="254"/>
      <c r="EP66" s="254"/>
      <c r="EQ66" s="254"/>
      <c r="ER66" s="254"/>
      <c r="ES66" s="254"/>
      <c r="ET66" s="254"/>
      <c r="EU66" s="254"/>
      <c r="EV66" s="254"/>
      <c r="EW66" s="254"/>
      <c r="EX66" s="254"/>
      <c r="EY66" s="254"/>
      <c r="EZ66" s="254"/>
      <c r="FA66" s="254"/>
      <c r="FB66" s="254"/>
      <c r="FC66" s="254"/>
      <c r="FD66" s="254"/>
      <c r="FE66" s="254"/>
      <c r="FF66" s="254"/>
      <c r="FG66" s="254"/>
      <c r="FH66" s="254"/>
      <c r="FI66" s="254"/>
      <c r="FJ66" s="254"/>
      <c r="FK66" s="254"/>
      <c r="FL66" s="254"/>
      <c r="FM66" s="254"/>
      <c r="FN66" s="254"/>
      <c r="FO66" s="254"/>
      <c r="FP66" s="254"/>
      <c r="FQ66" s="254"/>
      <c r="FR66" s="254"/>
      <c r="FS66" s="254"/>
      <c r="FT66" s="254"/>
      <c r="FU66" s="254"/>
      <c r="FV66" s="254"/>
      <c r="FW66" s="254"/>
      <c r="FX66" s="254"/>
      <c r="FY66" s="254"/>
      <c r="FZ66" s="254"/>
      <c r="GA66" s="254"/>
      <c r="GB66" s="254"/>
      <c r="GC66" s="254"/>
      <c r="GD66" s="254"/>
      <c r="GE66" s="254"/>
      <c r="GF66" s="254"/>
      <c r="GG66" s="254"/>
      <c r="GH66" s="254"/>
      <c r="GI66" s="254"/>
      <c r="GJ66" s="254"/>
      <c r="GK66" s="254"/>
      <c r="GL66" s="254"/>
      <c r="GM66" s="254"/>
      <c r="GN66" s="254"/>
      <c r="GO66" s="254"/>
      <c r="GP66" s="254"/>
      <c r="GQ66" s="254"/>
      <c r="GR66" s="254"/>
      <c r="GS66" s="254"/>
      <c r="GT66" s="254"/>
      <c r="GU66" s="254"/>
      <c r="GV66" s="254"/>
      <c r="GW66" s="254"/>
      <c r="GX66" s="254"/>
      <c r="GY66" s="254"/>
      <c r="GZ66" s="254"/>
      <c r="HA66" s="254"/>
      <c r="HB66" s="254"/>
      <c r="HC66" s="254"/>
      <c r="HD66" s="254"/>
      <c r="HE66" s="254"/>
      <c r="HF66" s="254"/>
      <c r="HG66" s="254"/>
      <c r="HH66" s="254"/>
      <c r="HI66" s="254"/>
      <c r="HJ66" s="254"/>
      <c r="HK66" s="254"/>
      <c r="HL66" s="254"/>
      <c r="HM66" s="254"/>
      <c r="HN66" s="254"/>
      <c r="HO66" s="254"/>
      <c r="HP66" s="254"/>
      <c r="HQ66" s="254"/>
      <c r="HR66" s="254"/>
      <c r="HS66" s="254"/>
      <c r="HT66" s="254"/>
      <c r="HU66" s="254"/>
      <c r="HV66" s="254"/>
      <c r="HW66" s="254"/>
      <c r="HX66" s="254"/>
      <c r="HY66" s="254"/>
      <c r="HZ66" s="254"/>
      <c r="IA66" s="254"/>
      <c r="IB66" s="254"/>
      <c r="IC66" s="254"/>
      <c r="ID66" s="254"/>
      <c r="IE66" s="254"/>
      <c r="IF66" s="254"/>
      <c r="IG66" s="254"/>
      <c r="IH66" s="254"/>
      <c r="II66" s="254"/>
      <c r="IJ66" s="254"/>
      <c r="IK66" s="254"/>
      <c r="IL66" s="254"/>
      <c r="IM66" s="254"/>
      <c r="IN66" s="254"/>
      <c r="IO66" s="254"/>
      <c r="IP66" s="254"/>
      <c r="IQ66" s="254"/>
      <c r="IR66" s="254"/>
      <c r="IS66" s="254"/>
      <c r="IT66" s="254"/>
      <c r="IU66" s="254"/>
      <c r="IV66" s="254"/>
    </row>
    <row r="67" spans="1:256" s="278" customFormat="1" ht="64.5" customHeight="1" x14ac:dyDescent="0.2">
      <c r="A67" s="287"/>
      <c r="B67" s="432"/>
      <c r="C67" s="424" t="str">
        <f>IF($C$55="Nepildoma","","Standartizuotas finansavimo šaltinio požymis (kodas)")</f>
        <v>Standartizuotas finansavimo šaltinio požymis (kodas)</v>
      </c>
      <c r="D67" s="524"/>
      <c r="E67" s="524"/>
      <c r="F67" s="433" t="str">
        <f>IF($C$55="Nepildoma","","← Pasirinkite priemonę iš sąrašo (D stulpelis); neradę pasirinkimo sąraše – įrašykite E stulpelyje ir pasirinkite D stulpelyje")</f>
        <v>← Pasirinkite priemonę iš sąrašo (D stulpelis); neradę pasirinkimo sąraše – įrašykite E stulpelyje ir pasirinkite D stulpelyje</v>
      </c>
      <c r="H67" s="274" t="b">
        <f t="shared" si="7"/>
        <v>0</v>
      </c>
      <c r="I67" s="253" t="b">
        <f>IF(D67="Nenumatoma naudoti ES lėšų",TRUE,FALSE)</f>
        <v>0</v>
      </c>
      <c r="J67" s="267">
        <f>IF(K32=TRUE,IF(D67=K67,0,1),0)</f>
        <v>0</v>
      </c>
      <c r="K67" s="255" t="str">
        <f>IFERROR(INDEX(sąrašai!E6:E71,sąrašai!B6),"")</f>
        <v/>
      </c>
      <c r="L67" s="278" t="b">
        <f>AND(L65:L66)</f>
        <v>0</v>
      </c>
      <c r="M67" s="278" t="b">
        <f>OR(L65:L66)</f>
        <v>0</v>
      </c>
      <c r="U67" s="254"/>
      <c r="V67" s="254"/>
      <c r="W67" s="254"/>
      <c r="X67" s="254"/>
      <c r="Y67" s="254"/>
      <c r="Z67" s="254"/>
      <c r="AA67" s="254"/>
      <c r="AB67" s="254"/>
      <c r="AC67" s="254"/>
      <c r="AD67" s="254"/>
      <c r="AE67" s="254"/>
      <c r="AF67" s="254"/>
      <c r="AG67" s="254"/>
      <c r="AH67" s="254"/>
      <c r="AI67" s="254"/>
      <c r="AJ67" s="254"/>
      <c r="AK67" s="254"/>
      <c r="AL67" s="254"/>
      <c r="AM67" s="254"/>
      <c r="AN67" s="254"/>
      <c r="AO67" s="254"/>
      <c r="AP67" s="254"/>
      <c r="AQ67" s="254"/>
      <c r="AR67" s="254"/>
      <c r="AS67" s="254"/>
      <c r="AT67" s="254"/>
      <c r="AU67" s="254"/>
      <c r="AV67" s="254"/>
      <c r="AW67" s="254"/>
      <c r="AX67" s="254"/>
      <c r="AY67" s="254"/>
      <c r="AZ67" s="254"/>
      <c r="BA67" s="254"/>
      <c r="BB67" s="254"/>
      <c r="BC67" s="254"/>
      <c r="BD67" s="254"/>
      <c r="BE67" s="254"/>
      <c r="BF67" s="254"/>
      <c r="BG67" s="254"/>
      <c r="BH67" s="254"/>
      <c r="BI67" s="254"/>
      <c r="BJ67" s="254"/>
      <c r="BK67" s="254"/>
      <c r="BL67" s="254"/>
      <c r="BM67" s="254"/>
      <c r="BN67" s="254"/>
      <c r="BO67" s="254"/>
      <c r="BP67" s="254"/>
      <c r="BQ67" s="254"/>
      <c r="BR67" s="254"/>
      <c r="BS67" s="254"/>
      <c r="BT67" s="254"/>
      <c r="BU67" s="254"/>
      <c r="BV67" s="254"/>
      <c r="BW67" s="254"/>
      <c r="BX67" s="254"/>
      <c r="BY67" s="254"/>
      <c r="BZ67" s="254"/>
      <c r="CA67" s="254"/>
      <c r="CB67" s="254"/>
      <c r="CC67" s="254"/>
      <c r="CD67" s="254"/>
      <c r="CE67" s="254"/>
      <c r="CF67" s="254"/>
      <c r="CG67" s="254"/>
      <c r="CH67" s="254"/>
      <c r="CI67" s="254"/>
      <c r="CJ67" s="254"/>
      <c r="CK67" s="254"/>
      <c r="CL67" s="254"/>
      <c r="CM67" s="254"/>
      <c r="CN67" s="254"/>
      <c r="CO67" s="254"/>
      <c r="CP67" s="254"/>
      <c r="CQ67" s="254"/>
      <c r="CR67" s="254"/>
      <c r="CS67" s="254"/>
      <c r="CT67" s="254"/>
      <c r="CU67" s="254"/>
      <c r="CV67" s="254"/>
      <c r="CW67" s="254"/>
      <c r="CX67" s="254"/>
      <c r="CY67" s="254"/>
      <c r="CZ67" s="254"/>
      <c r="DA67" s="254"/>
      <c r="DB67" s="254"/>
      <c r="DC67" s="254"/>
      <c r="DD67" s="254"/>
      <c r="DE67" s="254"/>
      <c r="DF67" s="254"/>
      <c r="DG67" s="254"/>
      <c r="DH67" s="254"/>
      <c r="DI67" s="254"/>
      <c r="DJ67" s="254"/>
      <c r="DK67" s="254"/>
      <c r="DL67" s="254"/>
      <c r="DM67" s="254"/>
      <c r="DN67" s="254"/>
      <c r="DO67" s="254"/>
      <c r="DP67" s="254"/>
      <c r="DQ67" s="254"/>
      <c r="DR67" s="254"/>
      <c r="DS67" s="254"/>
      <c r="DT67" s="254"/>
      <c r="DU67" s="254"/>
      <c r="DV67" s="254"/>
      <c r="DW67" s="254"/>
      <c r="DX67" s="254"/>
      <c r="DY67" s="254"/>
      <c r="DZ67" s="254"/>
      <c r="EA67" s="254"/>
      <c r="EB67" s="254"/>
      <c r="EC67" s="254"/>
      <c r="ED67" s="254"/>
      <c r="EE67" s="254"/>
      <c r="EF67" s="254"/>
      <c r="EG67" s="254"/>
      <c r="EH67" s="254"/>
      <c r="EI67" s="254"/>
      <c r="EJ67" s="254"/>
      <c r="EK67" s="254"/>
      <c r="EL67" s="254"/>
      <c r="EM67" s="254"/>
      <c r="EN67" s="254"/>
      <c r="EO67" s="254"/>
      <c r="EP67" s="254"/>
      <c r="EQ67" s="254"/>
      <c r="ER67" s="254"/>
      <c r="ES67" s="254"/>
      <c r="ET67" s="254"/>
      <c r="EU67" s="254"/>
      <c r="EV67" s="254"/>
      <c r="EW67" s="254"/>
      <c r="EX67" s="254"/>
      <c r="EY67" s="254"/>
      <c r="EZ67" s="254"/>
      <c r="FA67" s="254"/>
      <c r="FB67" s="254"/>
      <c r="FC67" s="254"/>
      <c r="FD67" s="254"/>
      <c r="FE67" s="254"/>
      <c r="FF67" s="254"/>
      <c r="FG67" s="254"/>
      <c r="FH67" s="254"/>
      <c r="FI67" s="254"/>
      <c r="FJ67" s="254"/>
      <c r="FK67" s="254"/>
      <c r="FL67" s="254"/>
      <c r="FM67" s="254"/>
      <c r="FN67" s="254"/>
      <c r="FO67" s="254"/>
      <c r="FP67" s="254"/>
      <c r="FQ67" s="254"/>
      <c r="FR67" s="254"/>
      <c r="FS67" s="254"/>
      <c r="FT67" s="254"/>
      <c r="FU67" s="254"/>
      <c r="FV67" s="254"/>
      <c r="FW67" s="254"/>
      <c r="FX67" s="254"/>
      <c r="FY67" s="254"/>
      <c r="FZ67" s="254"/>
      <c r="GA67" s="254"/>
      <c r="GB67" s="254"/>
      <c r="GC67" s="254"/>
      <c r="GD67" s="254"/>
      <c r="GE67" s="254"/>
      <c r="GF67" s="254"/>
      <c r="GG67" s="254"/>
      <c r="GH67" s="254"/>
      <c r="GI67" s="254"/>
      <c r="GJ67" s="254"/>
      <c r="GK67" s="254"/>
      <c r="GL67" s="254"/>
      <c r="GM67" s="254"/>
      <c r="GN67" s="254"/>
      <c r="GO67" s="254"/>
      <c r="GP67" s="254"/>
      <c r="GQ67" s="254"/>
      <c r="GR67" s="254"/>
      <c r="GS67" s="254"/>
      <c r="GT67" s="254"/>
      <c r="GU67" s="254"/>
      <c r="GV67" s="254"/>
      <c r="GW67" s="254"/>
      <c r="GX67" s="254"/>
      <c r="GY67" s="254"/>
      <c r="GZ67" s="254"/>
      <c r="HA67" s="254"/>
      <c r="HB67" s="254"/>
      <c r="HC67" s="254"/>
      <c r="HD67" s="254"/>
      <c r="HE67" s="254"/>
      <c r="HF67" s="254"/>
      <c r="HG67" s="254"/>
      <c r="HH67" s="254"/>
      <c r="HI67" s="254"/>
      <c r="HJ67" s="254"/>
      <c r="HK67" s="254"/>
      <c r="HL67" s="254"/>
      <c r="HM67" s="254"/>
      <c r="HN67" s="254"/>
      <c r="HO67" s="254"/>
      <c r="HP67" s="254"/>
      <c r="HQ67" s="254"/>
      <c r="HR67" s="254"/>
      <c r="HS67" s="254"/>
      <c r="HT67" s="254"/>
      <c r="HU67" s="254"/>
      <c r="HV67" s="254"/>
      <c r="HW67" s="254"/>
      <c r="HX67" s="254"/>
      <c r="HY67" s="254"/>
      <c r="HZ67" s="254"/>
      <c r="IA67" s="254"/>
      <c r="IB67" s="254"/>
      <c r="IC67" s="254"/>
      <c r="ID67" s="254"/>
      <c r="IE67" s="254"/>
      <c r="IF67" s="254"/>
      <c r="IG67" s="254"/>
      <c r="IH67" s="254"/>
      <c r="II67" s="254"/>
      <c r="IJ67" s="254"/>
      <c r="IK67" s="254"/>
      <c r="IL67" s="254"/>
      <c r="IM67" s="254"/>
      <c r="IN67" s="254"/>
      <c r="IO67" s="254"/>
      <c r="IP67" s="254"/>
      <c r="IQ67" s="254"/>
      <c r="IR67" s="254"/>
      <c r="IS67" s="254"/>
      <c r="IT67" s="254"/>
      <c r="IU67" s="254"/>
      <c r="IV67" s="254"/>
    </row>
    <row r="68" spans="1:256" s="278" customFormat="1" ht="66.75" customHeight="1" x14ac:dyDescent="0.2">
      <c r="A68" s="287"/>
      <c r="B68" s="432"/>
      <c r="C68" s="424" t="str">
        <f>IF($C$55="Nepildoma","","R/V/KT")</f>
        <v>R/V/KT</v>
      </c>
      <c r="D68" s="524" t="s">
        <v>40</v>
      </c>
      <c r="E68" s="434"/>
      <c r="F68" s="435" t="str">
        <f>IF($C$55="Nepildoma","","←D stulpelyje pasirinkite projekto atrankos būdą („R“ – regionų projektų planavimas,  „V“ –  valstybės projektų planavimas, „–“ – kiti atrankos būdai)")</f>
        <v>←D stulpelyje pasirinkite projekto atrankos būdą („R“ – regionų projektų planavimas,  „V“ –  valstybės projektų planavimas, „–“ – kiti atrankos būdai)</v>
      </c>
      <c r="H68" s="274" t="b">
        <f t="shared" si="7"/>
        <v>1</v>
      </c>
      <c r="I68" s="253"/>
      <c r="U68" s="254"/>
      <c r="V68" s="254"/>
      <c r="W68" s="254"/>
      <c r="X68" s="254"/>
      <c r="Y68" s="254"/>
      <c r="Z68" s="254"/>
      <c r="AA68" s="254"/>
      <c r="AB68" s="254"/>
      <c r="AC68" s="254"/>
      <c r="AD68" s="254"/>
      <c r="AE68" s="254"/>
      <c r="AF68" s="254"/>
      <c r="AG68" s="254"/>
      <c r="AH68" s="254"/>
      <c r="AI68" s="254"/>
      <c r="AJ68" s="254"/>
      <c r="AK68" s="254"/>
      <c r="AL68" s="254"/>
      <c r="AM68" s="254"/>
      <c r="AN68" s="254"/>
      <c r="AO68" s="254"/>
      <c r="AP68" s="254"/>
      <c r="AQ68" s="254"/>
      <c r="AR68" s="254"/>
      <c r="AS68" s="254"/>
      <c r="AT68" s="254"/>
      <c r="AU68" s="254"/>
      <c r="AV68" s="254"/>
      <c r="AW68" s="254"/>
      <c r="AX68" s="254"/>
      <c r="AY68" s="254"/>
      <c r="AZ68" s="254"/>
      <c r="BA68" s="254"/>
      <c r="BB68" s="254"/>
      <c r="BC68" s="254"/>
      <c r="BD68" s="254"/>
      <c r="BE68" s="254"/>
      <c r="BF68" s="254"/>
      <c r="BG68" s="254"/>
      <c r="BH68" s="254"/>
      <c r="BI68" s="254"/>
      <c r="BJ68" s="254"/>
      <c r="BK68" s="254"/>
      <c r="BL68" s="254"/>
      <c r="BM68" s="254"/>
      <c r="BN68" s="254"/>
      <c r="BO68" s="254"/>
      <c r="BP68" s="254"/>
      <c r="BQ68" s="254"/>
      <c r="BR68" s="254"/>
      <c r="BS68" s="254"/>
      <c r="BT68" s="254"/>
      <c r="BU68" s="254"/>
      <c r="BV68" s="254"/>
      <c r="BW68" s="254"/>
      <c r="BX68" s="254"/>
      <c r="BY68" s="254"/>
      <c r="BZ68" s="254"/>
      <c r="CA68" s="254"/>
      <c r="CB68" s="254"/>
      <c r="CC68" s="254"/>
      <c r="CD68" s="254"/>
      <c r="CE68" s="254"/>
      <c r="CF68" s="254"/>
      <c r="CG68" s="254"/>
      <c r="CH68" s="254"/>
      <c r="CI68" s="254"/>
      <c r="CJ68" s="254"/>
      <c r="CK68" s="254"/>
      <c r="CL68" s="254"/>
      <c r="CM68" s="254"/>
      <c r="CN68" s="254"/>
      <c r="CO68" s="254"/>
      <c r="CP68" s="254"/>
      <c r="CQ68" s="254"/>
      <c r="CR68" s="254"/>
      <c r="CS68" s="254"/>
      <c r="CT68" s="254"/>
      <c r="CU68" s="254"/>
      <c r="CV68" s="254"/>
      <c r="CW68" s="254"/>
      <c r="CX68" s="254"/>
      <c r="CY68" s="254"/>
      <c r="CZ68" s="254"/>
      <c r="DA68" s="254"/>
      <c r="DB68" s="254"/>
      <c r="DC68" s="254"/>
      <c r="DD68" s="254"/>
      <c r="DE68" s="254"/>
      <c r="DF68" s="254"/>
      <c r="DG68" s="254"/>
      <c r="DH68" s="254"/>
      <c r="DI68" s="254"/>
      <c r="DJ68" s="254"/>
      <c r="DK68" s="254"/>
      <c r="DL68" s="254"/>
      <c r="DM68" s="254"/>
      <c r="DN68" s="254"/>
      <c r="DO68" s="254"/>
      <c r="DP68" s="254"/>
      <c r="DQ68" s="254"/>
      <c r="DR68" s="254"/>
      <c r="DS68" s="254"/>
      <c r="DT68" s="254"/>
      <c r="DU68" s="254"/>
      <c r="DV68" s="254"/>
      <c r="DW68" s="254"/>
      <c r="DX68" s="254"/>
      <c r="DY68" s="254"/>
      <c r="DZ68" s="254"/>
      <c r="EA68" s="254"/>
      <c r="EB68" s="254"/>
      <c r="EC68" s="254"/>
      <c r="ED68" s="254"/>
      <c r="EE68" s="254"/>
      <c r="EF68" s="254"/>
      <c r="EG68" s="254"/>
      <c r="EH68" s="254"/>
      <c r="EI68" s="254"/>
      <c r="EJ68" s="254"/>
      <c r="EK68" s="254"/>
      <c r="EL68" s="254"/>
      <c r="EM68" s="254"/>
      <c r="EN68" s="254"/>
      <c r="EO68" s="254"/>
      <c r="EP68" s="254"/>
      <c r="EQ68" s="254"/>
      <c r="ER68" s="254"/>
      <c r="ES68" s="254"/>
      <c r="ET68" s="254"/>
      <c r="EU68" s="254"/>
      <c r="EV68" s="254"/>
      <c r="EW68" s="254"/>
      <c r="EX68" s="254"/>
      <c r="EY68" s="254"/>
      <c r="EZ68" s="254"/>
      <c r="FA68" s="254"/>
      <c r="FB68" s="254"/>
      <c r="FC68" s="254"/>
      <c r="FD68" s="254"/>
      <c r="FE68" s="254"/>
      <c r="FF68" s="254"/>
      <c r="FG68" s="254"/>
      <c r="FH68" s="254"/>
      <c r="FI68" s="254"/>
      <c r="FJ68" s="254"/>
      <c r="FK68" s="254"/>
      <c r="FL68" s="254"/>
      <c r="FM68" s="254"/>
      <c r="FN68" s="254"/>
      <c r="FO68" s="254"/>
      <c r="FP68" s="254"/>
      <c r="FQ68" s="254"/>
      <c r="FR68" s="254"/>
      <c r="FS68" s="254"/>
      <c r="FT68" s="254"/>
      <c r="FU68" s="254"/>
      <c r="FV68" s="254"/>
      <c r="FW68" s="254"/>
      <c r="FX68" s="254"/>
      <c r="FY68" s="254"/>
      <c r="FZ68" s="254"/>
      <c r="GA68" s="254"/>
      <c r="GB68" s="254"/>
      <c r="GC68" s="254"/>
      <c r="GD68" s="254"/>
      <c r="GE68" s="254"/>
      <c r="GF68" s="254"/>
      <c r="GG68" s="254"/>
      <c r="GH68" s="254"/>
      <c r="GI68" s="254"/>
      <c r="GJ68" s="254"/>
      <c r="GK68" s="254"/>
      <c r="GL68" s="254"/>
      <c r="GM68" s="254"/>
      <c r="GN68" s="254"/>
      <c r="GO68" s="254"/>
      <c r="GP68" s="254"/>
      <c r="GQ68" s="254"/>
      <c r="GR68" s="254"/>
      <c r="GS68" s="254"/>
      <c r="GT68" s="254"/>
      <c r="GU68" s="254"/>
      <c r="GV68" s="254"/>
      <c r="GW68" s="254"/>
      <c r="GX68" s="254"/>
      <c r="GY68" s="254"/>
      <c r="GZ68" s="254"/>
      <c r="HA68" s="254"/>
      <c r="HB68" s="254"/>
      <c r="HC68" s="254"/>
      <c r="HD68" s="254"/>
      <c r="HE68" s="254"/>
      <c r="HF68" s="254"/>
      <c r="HG68" s="254"/>
      <c r="HH68" s="254"/>
      <c r="HI68" s="254"/>
      <c r="HJ68" s="254"/>
      <c r="HK68" s="254"/>
      <c r="HL68" s="254"/>
      <c r="HM68" s="254"/>
      <c r="HN68" s="254"/>
      <c r="HO68" s="254"/>
      <c r="HP68" s="254"/>
      <c r="HQ68" s="254"/>
      <c r="HR68" s="254"/>
      <c r="HS68" s="254"/>
      <c r="HT68" s="254"/>
      <c r="HU68" s="254"/>
      <c r="HV68" s="254"/>
      <c r="HW68" s="254"/>
      <c r="HX68" s="254"/>
      <c r="HY68" s="254"/>
      <c r="HZ68" s="254"/>
      <c r="IA68" s="254"/>
      <c r="IB68" s="254"/>
      <c r="IC68" s="254"/>
      <c r="ID68" s="254"/>
      <c r="IE68" s="254"/>
      <c r="IF68" s="254"/>
      <c r="IG68" s="254"/>
      <c r="IH68" s="254"/>
      <c r="II68" s="254"/>
      <c r="IJ68" s="254"/>
      <c r="IK68" s="254"/>
      <c r="IL68" s="254"/>
      <c r="IM68" s="254"/>
      <c r="IN68" s="254"/>
      <c r="IO68" s="254"/>
      <c r="IP68" s="254"/>
      <c r="IQ68" s="254"/>
      <c r="IR68" s="254"/>
      <c r="IS68" s="254"/>
      <c r="IT68" s="254"/>
      <c r="IU68" s="254"/>
      <c r="IV68" s="254"/>
    </row>
    <row r="69" spans="1:256" s="278" customFormat="1" ht="93" customHeight="1" x14ac:dyDescent="0.2">
      <c r="A69" s="287"/>
      <c r="B69" s="432"/>
      <c r="C69" s="424" t="str">
        <f>IF($C$55="Nepildoma","","ITI, RSP")</f>
        <v>ITI, RSP</v>
      </c>
      <c r="D69" s="524" t="s">
        <v>111</v>
      </c>
      <c r="E69" s="436"/>
      <c r="F69" s="435" t="str">
        <f>IF($C$55="Nepildoma","","←D stulpelyje pasirinkite kitus projekto požymius („ITI“ – projektas, įgyvendinamas pagal integruotą teritorijų vystymo programą,  „RSP“ – regioninės svarbos projektas, „–“ – bet kuris kitas projektas)")</f>
        <v>←D stulpelyje pasirinkite kitus projekto požymius („ITI“ – projektas, įgyvendinamas pagal integruotą teritorijų vystymo programą,  „RSP“ – regioninės svarbos projektas, „–“ – bet kuris kitas projektas)</v>
      </c>
      <c r="H69" s="274" t="b">
        <f t="shared" si="7"/>
        <v>1</v>
      </c>
      <c r="I69" s="253"/>
      <c r="S69" s="254"/>
      <c r="T69" s="254"/>
      <c r="U69" s="254"/>
      <c r="V69" s="254"/>
      <c r="W69" s="254"/>
      <c r="X69" s="254"/>
      <c r="Y69" s="254"/>
      <c r="Z69" s="254"/>
      <c r="AA69" s="254"/>
      <c r="AB69" s="254"/>
      <c r="AC69" s="254"/>
      <c r="AD69" s="254"/>
      <c r="AE69" s="254"/>
      <c r="AF69" s="254"/>
      <c r="AG69" s="254"/>
      <c r="AH69" s="254"/>
      <c r="AI69" s="254"/>
      <c r="AJ69" s="254"/>
      <c r="AK69" s="254"/>
      <c r="AL69" s="254"/>
      <c r="AM69" s="254"/>
      <c r="AN69" s="254"/>
      <c r="AO69" s="254"/>
      <c r="AP69" s="254"/>
      <c r="AQ69" s="254"/>
      <c r="AR69" s="254"/>
      <c r="AS69" s="254"/>
      <c r="AT69" s="254"/>
      <c r="AU69" s="254"/>
      <c r="AV69" s="254"/>
      <c r="AW69" s="254"/>
      <c r="AX69" s="254"/>
      <c r="AY69" s="254"/>
      <c r="AZ69" s="254"/>
      <c r="BA69" s="254"/>
      <c r="BB69" s="254"/>
      <c r="BC69" s="254"/>
      <c r="BD69" s="254"/>
      <c r="BE69" s="254"/>
      <c r="BF69" s="254"/>
      <c r="BG69" s="254"/>
      <c r="BH69" s="254"/>
      <c r="BI69" s="254"/>
      <c r="BJ69" s="254"/>
      <c r="BK69" s="254"/>
      <c r="BL69" s="254"/>
      <c r="BM69" s="254"/>
      <c r="BN69" s="254"/>
      <c r="BO69" s="254"/>
      <c r="BP69" s="254"/>
      <c r="BQ69" s="254"/>
      <c r="BR69" s="254"/>
      <c r="BS69" s="254"/>
      <c r="BT69" s="254"/>
      <c r="BU69" s="254"/>
      <c r="BV69" s="254"/>
      <c r="BW69" s="254"/>
      <c r="BX69" s="254"/>
      <c r="BY69" s="254"/>
      <c r="BZ69" s="254"/>
      <c r="CA69" s="254"/>
      <c r="CB69" s="254"/>
      <c r="CC69" s="254"/>
      <c r="CD69" s="254"/>
      <c r="CE69" s="254"/>
      <c r="CF69" s="254"/>
      <c r="CG69" s="254"/>
      <c r="CH69" s="254"/>
      <c r="CI69" s="254"/>
      <c r="CJ69" s="254"/>
      <c r="CK69" s="254"/>
      <c r="CL69" s="254"/>
      <c r="CM69" s="254"/>
      <c r="CN69" s="254"/>
      <c r="CO69" s="254"/>
      <c r="CP69" s="254"/>
      <c r="CQ69" s="254"/>
      <c r="CR69" s="254"/>
      <c r="CS69" s="254"/>
      <c r="CT69" s="254"/>
      <c r="CU69" s="254"/>
      <c r="CV69" s="254"/>
      <c r="CW69" s="254"/>
      <c r="CX69" s="254"/>
      <c r="CY69" s="254"/>
      <c r="CZ69" s="254"/>
      <c r="DA69" s="254"/>
      <c r="DB69" s="254"/>
      <c r="DC69" s="254"/>
      <c r="DD69" s="254"/>
      <c r="DE69" s="254"/>
      <c r="DF69" s="254"/>
      <c r="DG69" s="254"/>
      <c r="DH69" s="254"/>
      <c r="DI69" s="254"/>
      <c r="DJ69" s="254"/>
      <c r="DK69" s="254"/>
      <c r="DL69" s="254"/>
      <c r="DM69" s="254"/>
      <c r="DN69" s="254"/>
      <c r="DO69" s="254"/>
      <c r="DP69" s="254"/>
      <c r="DQ69" s="254"/>
      <c r="DR69" s="254"/>
      <c r="DS69" s="254"/>
      <c r="DT69" s="254"/>
      <c r="DU69" s="254"/>
      <c r="DV69" s="254"/>
      <c r="DW69" s="254"/>
      <c r="DX69" s="254"/>
      <c r="DY69" s="254"/>
      <c r="DZ69" s="254"/>
      <c r="EA69" s="254"/>
      <c r="EB69" s="254"/>
      <c r="EC69" s="254"/>
      <c r="ED69" s="254"/>
      <c r="EE69" s="254"/>
      <c r="EF69" s="254"/>
      <c r="EG69" s="254"/>
      <c r="EH69" s="254"/>
      <c r="EI69" s="254"/>
      <c r="EJ69" s="254"/>
      <c r="EK69" s="254"/>
      <c r="EL69" s="254"/>
      <c r="EM69" s="254"/>
      <c r="EN69" s="254"/>
      <c r="EO69" s="254"/>
      <c r="EP69" s="254"/>
      <c r="EQ69" s="254"/>
      <c r="ER69" s="254"/>
      <c r="ES69" s="254"/>
      <c r="ET69" s="254"/>
      <c r="EU69" s="254"/>
      <c r="EV69" s="254"/>
      <c r="EW69" s="254"/>
      <c r="EX69" s="254"/>
      <c r="EY69" s="254"/>
      <c r="EZ69" s="254"/>
      <c r="FA69" s="254"/>
      <c r="FB69" s="254"/>
      <c r="FC69" s="254"/>
      <c r="FD69" s="254"/>
      <c r="FE69" s="254"/>
      <c r="FF69" s="254"/>
      <c r="FG69" s="254"/>
      <c r="FH69" s="254"/>
      <c r="FI69" s="254"/>
      <c r="FJ69" s="254"/>
      <c r="FK69" s="254"/>
      <c r="FL69" s="254"/>
      <c r="FM69" s="254"/>
      <c r="FN69" s="254"/>
      <c r="FO69" s="254"/>
      <c r="FP69" s="254"/>
      <c r="FQ69" s="254"/>
      <c r="FR69" s="254"/>
      <c r="FS69" s="254"/>
      <c r="FT69" s="254"/>
      <c r="FU69" s="254"/>
      <c r="FV69" s="254"/>
      <c r="FW69" s="254"/>
      <c r="FX69" s="254"/>
      <c r="FY69" s="254"/>
      <c r="FZ69" s="254"/>
      <c r="GA69" s="254"/>
      <c r="GB69" s="254"/>
      <c r="GC69" s="254"/>
      <c r="GD69" s="254"/>
      <c r="GE69" s="254"/>
      <c r="GF69" s="254"/>
      <c r="GG69" s="254"/>
      <c r="GH69" s="254"/>
      <c r="GI69" s="254"/>
      <c r="GJ69" s="254"/>
      <c r="GK69" s="254"/>
      <c r="GL69" s="254"/>
      <c r="GM69" s="254"/>
      <c r="GN69" s="254"/>
      <c r="GO69" s="254"/>
      <c r="GP69" s="254"/>
      <c r="GQ69" s="254"/>
      <c r="GR69" s="254"/>
      <c r="GS69" s="254"/>
      <c r="GT69" s="254"/>
      <c r="GU69" s="254"/>
      <c r="GV69" s="254"/>
      <c r="GW69" s="254"/>
      <c r="GX69" s="254"/>
      <c r="GY69" s="254"/>
      <c r="GZ69" s="254"/>
      <c r="HA69" s="254"/>
      <c r="HB69" s="254"/>
      <c r="HC69" s="254"/>
      <c r="HD69" s="254"/>
      <c r="HE69" s="254"/>
      <c r="HF69" s="254"/>
      <c r="HG69" s="254"/>
      <c r="HH69" s="254"/>
      <c r="HI69" s="254"/>
      <c r="HJ69" s="254"/>
      <c r="HK69" s="254"/>
      <c r="HL69" s="254"/>
      <c r="HM69" s="254"/>
      <c r="HN69" s="254"/>
      <c r="HO69" s="254"/>
      <c r="HP69" s="254"/>
      <c r="HQ69" s="254"/>
      <c r="HR69" s="254"/>
      <c r="HS69" s="254"/>
      <c r="HT69" s="254"/>
      <c r="HU69" s="254"/>
      <c r="HV69" s="254"/>
      <c r="HW69" s="254"/>
      <c r="HX69" s="254"/>
      <c r="HY69" s="254"/>
      <c r="HZ69" s="254"/>
      <c r="IA69" s="254"/>
      <c r="IB69" s="254"/>
      <c r="IC69" s="254"/>
      <c r="ID69" s="254"/>
      <c r="IE69" s="254"/>
      <c r="IF69" s="254"/>
      <c r="IG69" s="254"/>
      <c r="IH69" s="254"/>
      <c r="II69" s="254"/>
      <c r="IJ69" s="254"/>
      <c r="IK69" s="254"/>
      <c r="IL69" s="254"/>
      <c r="IM69" s="254"/>
      <c r="IN69" s="254"/>
      <c r="IO69" s="254"/>
      <c r="IP69" s="254"/>
      <c r="IQ69" s="254"/>
      <c r="IR69" s="254"/>
      <c r="IS69" s="254"/>
      <c r="IT69" s="254"/>
      <c r="IU69" s="254"/>
      <c r="IV69" s="254"/>
    </row>
    <row r="70" spans="1:256" s="278" customFormat="1" ht="50.45" customHeight="1" x14ac:dyDescent="0.2">
      <c r="A70" s="287"/>
      <c r="B70" s="432"/>
      <c r="C70" s="424" t="str">
        <f>IF($C$55="Nepildoma","","rez.")</f>
        <v>rez.</v>
      </c>
      <c r="D70" s="524"/>
      <c r="E70" s="436"/>
      <c r="F70" s="437" t="str">
        <f>IF($C$55="Nepildoma","","←D stulpelyje pasirinkite kitus projekto požymius („rez.“ – rezervinis projektas,   „–“ – bet kuris kitas projektas)")</f>
        <v>←D stulpelyje pasirinkite kitus projekto požymius („rez.“ – rezervinis projektas,   „–“ – bet kuris kitas projektas)</v>
      </c>
      <c r="H70" s="274" t="b">
        <f t="shared" si="7"/>
        <v>0</v>
      </c>
      <c r="I70" s="253"/>
      <c r="J70" s="253"/>
      <c r="K70" s="253"/>
      <c r="L70" s="253"/>
      <c r="M70" s="253"/>
      <c r="N70" s="253"/>
      <c r="O70" s="253"/>
      <c r="P70" s="254"/>
      <c r="Q70" s="254"/>
      <c r="R70" s="254"/>
      <c r="S70" s="254"/>
      <c r="T70" s="254"/>
      <c r="U70" s="254"/>
      <c r="V70" s="254"/>
      <c r="W70" s="254"/>
      <c r="X70" s="254"/>
      <c r="Y70" s="254"/>
      <c r="Z70" s="254"/>
      <c r="AA70" s="254"/>
      <c r="AB70" s="254"/>
      <c r="AC70" s="254"/>
      <c r="AD70" s="254"/>
      <c r="AE70" s="254"/>
      <c r="AF70" s="254"/>
      <c r="AG70" s="254"/>
      <c r="AH70" s="254"/>
      <c r="AI70" s="254"/>
      <c r="AJ70" s="254"/>
      <c r="AK70" s="254"/>
      <c r="AL70" s="254"/>
      <c r="AM70" s="254"/>
      <c r="AN70" s="254"/>
      <c r="AO70" s="254"/>
      <c r="AP70" s="254"/>
      <c r="AQ70" s="254"/>
      <c r="AR70" s="254"/>
      <c r="AS70" s="254"/>
      <c r="AT70" s="254"/>
      <c r="AU70" s="254"/>
      <c r="AV70" s="254"/>
      <c r="AW70" s="254"/>
      <c r="AX70" s="254"/>
      <c r="AY70" s="254"/>
      <c r="AZ70" s="254"/>
      <c r="BA70" s="254"/>
      <c r="BB70" s="254"/>
      <c r="BC70" s="254"/>
      <c r="BD70" s="254"/>
      <c r="BE70" s="254"/>
      <c r="BF70" s="254"/>
      <c r="BG70" s="254"/>
      <c r="BH70" s="254"/>
      <c r="BI70" s="254"/>
      <c r="BJ70" s="254"/>
      <c r="BK70" s="254"/>
      <c r="BL70" s="254"/>
      <c r="BM70" s="254"/>
      <c r="BN70" s="254"/>
      <c r="BO70" s="254"/>
      <c r="BP70" s="254"/>
      <c r="BQ70" s="254"/>
      <c r="BR70" s="254"/>
      <c r="BS70" s="254"/>
      <c r="BT70" s="254"/>
      <c r="BU70" s="254"/>
      <c r="BV70" s="254"/>
      <c r="BW70" s="254"/>
      <c r="BX70" s="254"/>
      <c r="BY70" s="254"/>
      <c r="BZ70" s="254"/>
      <c r="CA70" s="254"/>
      <c r="CB70" s="254"/>
      <c r="CC70" s="254"/>
      <c r="CD70" s="254"/>
      <c r="CE70" s="254"/>
      <c r="CF70" s="254"/>
      <c r="CG70" s="254"/>
      <c r="CH70" s="254"/>
      <c r="CI70" s="254"/>
      <c r="CJ70" s="254"/>
      <c r="CK70" s="254"/>
      <c r="CL70" s="254"/>
      <c r="CM70" s="254"/>
      <c r="CN70" s="254"/>
      <c r="CO70" s="254"/>
      <c r="CP70" s="254"/>
      <c r="CQ70" s="254"/>
      <c r="CR70" s="254"/>
      <c r="CS70" s="254"/>
      <c r="CT70" s="254"/>
      <c r="CU70" s="254"/>
      <c r="CV70" s="254"/>
      <c r="CW70" s="254"/>
      <c r="CX70" s="254"/>
      <c r="CY70" s="254"/>
      <c r="CZ70" s="254"/>
      <c r="DA70" s="254"/>
      <c r="DB70" s="254"/>
      <c r="DC70" s="254"/>
      <c r="DD70" s="254"/>
      <c r="DE70" s="254"/>
      <c r="DF70" s="254"/>
      <c r="DG70" s="254"/>
      <c r="DH70" s="254"/>
      <c r="DI70" s="254"/>
      <c r="DJ70" s="254"/>
      <c r="DK70" s="254"/>
      <c r="DL70" s="254"/>
      <c r="DM70" s="254"/>
      <c r="DN70" s="254"/>
      <c r="DO70" s="254"/>
      <c r="DP70" s="254"/>
      <c r="DQ70" s="254"/>
      <c r="DR70" s="254"/>
      <c r="DS70" s="254"/>
      <c r="DT70" s="254"/>
      <c r="DU70" s="254"/>
      <c r="DV70" s="254"/>
      <c r="DW70" s="254"/>
      <c r="DX70" s="254"/>
      <c r="DY70" s="254"/>
      <c r="DZ70" s="254"/>
      <c r="EA70" s="254"/>
      <c r="EB70" s="254"/>
      <c r="EC70" s="254"/>
      <c r="ED70" s="254"/>
      <c r="EE70" s="254"/>
      <c r="EF70" s="254"/>
      <c r="EG70" s="254"/>
      <c r="EH70" s="254"/>
      <c r="EI70" s="254"/>
      <c r="EJ70" s="254"/>
      <c r="EK70" s="254"/>
      <c r="EL70" s="254"/>
      <c r="EM70" s="254"/>
      <c r="EN70" s="254"/>
      <c r="EO70" s="254"/>
      <c r="EP70" s="254"/>
      <c r="EQ70" s="254"/>
      <c r="ER70" s="254"/>
      <c r="ES70" s="254"/>
      <c r="ET70" s="254"/>
      <c r="EU70" s="254"/>
      <c r="EV70" s="254"/>
      <c r="EW70" s="254"/>
      <c r="EX70" s="254"/>
      <c r="EY70" s="254"/>
      <c r="EZ70" s="254"/>
      <c r="FA70" s="254"/>
      <c r="FB70" s="254"/>
      <c r="FC70" s="254"/>
      <c r="FD70" s="254"/>
      <c r="FE70" s="254"/>
      <c r="FF70" s="254"/>
      <c r="FG70" s="254"/>
      <c r="FH70" s="254"/>
      <c r="FI70" s="254"/>
      <c r="FJ70" s="254"/>
      <c r="FK70" s="254"/>
      <c r="FL70" s="254"/>
      <c r="FM70" s="254"/>
      <c r="FN70" s="254"/>
      <c r="FO70" s="254"/>
      <c r="FP70" s="254"/>
      <c r="FQ70" s="254"/>
      <c r="FR70" s="254"/>
      <c r="FS70" s="254"/>
      <c r="FT70" s="254"/>
      <c r="FU70" s="254"/>
      <c r="FV70" s="254"/>
      <c r="FW70" s="254"/>
      <c r="FX70" s="254"/>
      <c r="FY70" s="254"/>
      <c r="FZ70" s="254"/>
      <c r="GA70" s="254"/>
      <c r="GB70" s="254"/>
      <c r="GC70" s="254"/>
      <c r="GD70" s="254"/>
      <c r="GE70" s="254"/>
      <c r="GF70" s="254"/>
      <c r="GG70" s="254"/>
      <c r="GH70" s="254"/>
      <c r="GI70" s="254"/>
      <c r="GJ70" s="254"/>
      <c r="GK70" s="254"/>
      <c r="GL70" s="254"/>
      <c r="GM70" s="254"/>
      <c r="GN70" s="254"/>
      <c r="GO70" s="254"/>
      <c r="GP70" s="254"/>
      <c r="GQ70" s="254"/>
      <c r="GR70" s="254"/>
      <c r="GS70" s="254"/>
      <c r="GT70" s="254"/>
      <c r="GU70" s="254"/>
      <c r="GV70" s="254"/>
      <c r="GW70" s="254"/>
      <c r="GX70" s="254"/>
      <c r="GY70" s="254"/>
      <c r="GZ70" s="254"/>
      <c r="HA70" s="254"/>
      <c r="HB70" s="254"/>
      <c r="HC70" s="254"/>
      <c r="HD70" s="254"/>
      <c r="HE70" s="254"/>
      <c r="HF70" s="254"/>
      <c r="HG70" s="254"/>
      <c r="HH70" s="254"/>
      <c r="HI70" s="254"/>
      <c r="HJ70" s="254"/>
      <c r="HK70" s="254"/>
      <c r="HL70" s="254"/>
      <c r="HM70" s="254"/>
      <c r="HN70" s="254"/>
      <c r="HO70" s="254"/>
      <c r="HP70" s="254"/>
      <c r="HQ70" s="254"/>
      <c r="HR70" s="254"/>
      <c r="HS70" s="254"/>
      <c r="HT70" s="254"/>
      <c r="HU70" s="254"/>
      <c r="HV70" s="254"/>
      <c r="HW70" s="254"/>
      <c r="HX70" s="254"/>
      <c r="HY70" s="254"/>
      <c r="HZ70" s="254"/>
      <c r="IA70" s="254"/>
      <c r="IB70" s="254"/>
      <c r="IC70" s="254"/>
      <c r="ID70" s="254"/>
      <c r="IE70" s="254"/>
      <c r="IF70" s="254"/>
      <c r="IG70" s="254"/>
      <c r="IH70" s="254"/>
      <c r="II70" s="254"/>
      <c r="IJ70" s="254"/>
      <c r="IK70" s="254"/>
      <c r="IL70" s="254"/>
      <c r="IM70" s="254"/>
      <c r="IN70" s="254"/>
      <c r="IO70" s="254"/>
      <c r="IP70" s="254"/>
      <c r="IQ70" s="254"/>
      <c r="IR70" s="254"/>
      <c r="IS70" s="254"/>
      <c r="IT70" s="254"/>
      <c r="IU70" s="254"/>
      <c r="IV70" s="254"/>
    </row>
    <row r="71" spans="1:256" ht="15" x14ac:dyDescent="0.2">
      <c r="A71" s="285"/>
      <c r="B71" s="376"/>
      <c r="C71" s="386"/>
      <c r="D71" s="386"/>
      <c r="E71" s="386"/>
      <c r="F71" s="395"/>
      <c r="H71" s="248"/>
      <c r="J71" s="247" t="s">
        <v>925</v>
      </c>
    </row>
    <row r="72" spans="1:256" ht="35.25" customHeight="1" x14ac:dyDescent="0.2">
      <c r="A72" s="285"/>
      <c r="B72" s="376"/>
      <c r="C72" s="400" t="str">
        <f>IF($C$55="Nepildoma","","Pasirinkta priemonė:")</f>
        <v>Pasirinkta priemonė:</v>
      </c>
      <c r="D72" s="575"/>
      <c r="E72" s="575"/>
      <c r="F72" s="576"/>
      <c r="H72" s="248"/>
    </row>
    <row r="73" spans="1:256" ht="17.100000000000001" customHeight="1" x14ac:dyDescent="0.25">
      <c r="A73" s="285"/>
      <c r="B73" s="376"/>
      <c r="C73" s="412" t="s">
        <v>21</v>
      </c>
      <c r="D73" s="413"/>
      <c r="E73" s="438"/>
      <c r="F73" s="439"/>
      <c r="H73" s="248"/>
    </row>
    <row r="74" spans="1:256" ht="15" customHeight="1" thickBot="1" x14ac:dyDescent="0.3">
      <c r="A74" s="285"/>
      <c r="B74" s="390"/>
      <c r="C74" s="403"/>
      <c r="D74" s="403"/>
      <c r="E74" s="403"/>
      <c r="F74" s="418"/>
      <c r="H74" s="248"/>
    </row>
    <row r="75" spans="1:256" s="478" customFormat="1" ht="15" customHeight="1" x14ac:dyDescent="0.25">
      <c r="A75" s="477"/>
      <c r="B75" s="474"/>
      <c r="C75" s="438"/>
      <c r="D75" s="438"/>
      <c r="E75" s="438"/>
      <c r="F75" s="476"/>
      <c r="I75" s="479"/>
      <c r="J75" s="479"/>
      <c r="K75" s="479"/>
      <c r="L75" s="479"/>
      <c r="M75" s="479"/>
      <c r="N75" s="479"/>
      <c r="O75" s="479"/>
    </row>
    <row r="76" spans="1:256" ht="16.5" thickBot="1" x14ac:dyDescent="0.25">
      <c r="A76" s="285"/>
      <c r="B76" s="367" t="s">
        <v>998</v>
      </c>
      <c r="C76" s="419"/>
      <c r="D76" s="419"/>
      <c r="E76" s="419"/>
      <c r="F76" s="419"/>
    </row>
    <row r="77" spans="1:256" ht="15.95" customHeight="1" x14ac:dyDescent="0.25">
      <c r="A77" s="285"/>
      <c r="B77" s="368"/>
      <c r="C77" s="370" t="str">
        <f>IF($K$33,"Nepildoma","")</f>
        <v/>
      </c>
      <c r="D77" s="420"/>
      <c r="E77" s="420"/>
      <c r="F77" s="421"/>
      <c r="J77" s="256">
        <f t="shared" ref="J77:J79" si="8">ROUND(D81/$D$80*100,2)</f>
        <v>0</v>
      </c>
    </row>
    <row r="78" spans="1:256" ht="21" customHeight="1" x14ac:dyDescent="0.2">
      <c r="A78" s="285"/>
      <c r="B78" s="376"/>
      <c r="C78" s="401" t="str">
        <f>IF($C$77="Nepildoma","","Finansavimo šaltiniai ir pagrindinių projekto įgyvendinimo etapų terminai")</f>
        <v>Finansavimo šaltiniai ir pagrindinių projekto įgyvendinimo etapų terminai</v>
      </c>
      <c r="D78" s="401"/>
      <c r="E78" s="401"/>
      <c r="F78" s="440"/>
      <c r="H78" s="247"/>
      <c r="J78" s="256">
        <f t="shared" si="8"/>
        <v>0</v>
      </c>
      <c r="K78" s="247" t="s">
        <v>42</v>
      </c>
      <c r="L78" s="247" t="s">
        <v>43</v>
      </c>
      <c r="M78" s="247" t="s">
        <v>44</v>
      </c>
    </row>
    <row r="79" spans="1:256" ht="15.75" thickBot="1" x14ac:dyDescent="0.25">
      <c r="A79" s="285"/>
      <c r="B79" s="376"/>
      <c r="C79" s="441"/>
      <c r="D79" s="408" t="str">
        <f>IF($C$77="Nepildoma","","D")</f>
        <v>D</v>
      </c>
      <c r="E79" s="397" t="str">
        <f>IF($C$77="Nepildoma","","E")</f>
        <v>E</v>
      </c>
      <c r="F79" s="442"/>
      <c r="H79" s="247"/>
      <c r="J79" s="256">
        <f t="shared" si="8"/>
        <v>100</v>
      </c>
      <c r="K79" s="247" t="b">
        <f>ISNUMBER(D84)</f>
        <v>0</v>
      </c>
      <c r="L79" s="247" t="b">
        <f>(ISNONTEXT(E84))</f>
        <v>1</v>
      </c>
      <c r="M79" s="257" t="b">
        <f>IF(MOD(K79+L79,2)=1,TRUE,FALSE)</f>
        <v>1</v>
      </c>
      <c r="N79" s="257"/>
    </row>
    <row r="80" spans="1:256" ht="15" x14ac:dyDescent="0.2">
      <c r="A80" s="285"/>
      <c r="B80" s="376"/>
      <c r="C80" s="513" t="str">
        <f>IF($C$77="Nepildoma","",IF($C$77="Nepildoma","","Iš viso:"))</f>
        <v>Iš viso:</v>
      </c>
      <c r="D80" s="514">
        <f>SUM(D81:D86)</f>
        <v>71163500</v>
      </c>
      <c r="E80" s="444"/>
      <c r="F80" s="515"/>
      <c r="J80" s="256">
        <f>ROUND(D84/$D$80*100,2)</f>
        <v>0</v>
      </c>
    </row>
    <row r="81" spans="1:14" ht="15" x14ac:dyDescent="0.2">
      <c r="A81" s="285"/>
      <c r="B81" s="376"/>
      <c r="C81" s="389" t="str">
        <f>IF($C$77="Nepildoma","","Savivaldybės biudžetas")</f>
        <v>Savivaldybės biudžetas</v>
      </c>
      <c r="D81" s="527"/>
      <c r="E81" s="389"/>
      <c r="F81" s="516" t="str">
        <f>IF($C$77="Nepildoma","",(IF(D81&gt;0,"Savivaldybės biudžetas "&amp;"– "&amp;J77&amp;" proc.","")))</f>
        <v/>
      </c>
      <c r="J81" s="256">
        <f>ROUND(D85/$D$80*100,2)</f>
        <v>0</v>
      </c>
    </row>
    <row r="82" spans="1:14" ht="15" x14ac:dyDescent="0.2">
      <c r="A82" s="285"/>
      <c r="B82" s="376"/>
      <c r="C82" s="389" t="str">
        <f>IF($C$77="Nepildoma","","Valstybės biudžetas")</f>
        <v>Valstybės biudžetas</v>
      </c>
      <c r="D82" s="527"/>
      <c r="E82" s="389"/>
      <c r="F82" s="516" t="str">
        <f>IF($C$77="Nepildoma","",(IF(D82&gt;0,"Valstybės biudžetas "&amp;"– "&amp;J78&amp;" proc.","")))</f>
        <v/>
      </c>
      <c r="J82" s="256"/>
    </row>
    <row r="83" spans="1:14" ht="15" x14ac:dyDescent="0.2">
      <c r="A83" s="285"/>
      <c r="B83" s="376"/>
      <c r="C83" s="389" t="str">
        <f>IF($C$77="Nepildoma","","Privačios lėšos")</f>
        <v>Privačios lėšos</v>
      </c>
      <c r="D83" s="527">
        <v>71163500</v>
      </c>
      <c r="E83" s="389"/>
      <c r="F83" s="516" t="str">
        <f>IF($C$77="Nepildoma","",(IF(D83&gt;0,"Privačios lėšos "&amp;"– "&amp;J79&amp;" proc.","")))</f>
        <v>Privačios lėšos – 100 proc.</v>
      </c>
    </row>
    <row r="84" spans="1:14" ht="30" x14ac:dyDescent="0.2">
      <c r="A84" s="285"/>
      <c r="B84" s="376"/>
      <c r="C84" s="389" t="str">
        <f>IF($C$77="Nepildoma","","Kitos viešosios lėšos (E stulpelyje nurodykite šaltinį)")</f>
        <v>Kitos viešosios lėšos (E stulpelyje nurodykite šaltinį)</v>
      </c>
      <c r="D84" s="527"/>
      <c r="E84" s="528"/>
      <c r="F84" s="516" t="str">
        <f>IF($C$77="Nepildoma","",(IF(D84&gt;0,"Kitos viešosios lėšos "&amp;"("&amp;E84&amp;")"&amp;" – "&amp;J80&amp;" proc.","")))</f>
        <v/>
      </c>
      <c r="H84" s="249"/>
      <c r="I84" s="247">
        <f>ROUNDUP(MONTH(E89)/3,0)</f>
        <v>1</v>
      </c>
      <c r="J84" s="247">
        <f>YEAR(E89)</f>
        <v>1900</v>
      </c>
    </row>
    <row r="85" spans="1:14" ht="15" x14ac:dyDescent="0.2">
      <c r="A85" s="285"/>
      <c r="B85" s="376"/>
      <c r="C85" s="389" t="str">
        <f>IF($C$77="Nepildoma","","ES lėšos")</f>
        <v>ES lėšos</v>
      </c>
      <c r="D85" s="527"/>
      <c r="E85" s="389"/>
      <c r="F85" s="516" t="str">
        <f>IFERROR(IF($C$77="Nepildoma","","ES lėšos "&amp;"– "&amp;J81&amp;" proc."),"")</f>
        <v>ES lėšos – 0 proc.</v>
      </c>
      <c r="I85" s="247">
        <f>ROUNDUP(MONTH(E90)/3,0)</f>
        <v>1</v>
      </c>
      <c r="J85" s="247">
        <f>YEAR(E90)</f>
        <v>1900</v>
      </c>
    </row>
    <row r="86" spans="1:14" ht="15" x14ac:dyDescent="0.2">
      <c r="A86" s="285"/>
      <c r="B86" s="376"/>
      <c r="C86" s="389" t="s">
        <v>1017</v>
      </c>
      <c r="D86" s="527"/>
      <c r="E86" s="529"/>
      <c r="F86" s="516" t="str">
        <f>IF($C$77="Nepildoma","",(IF(D86&gt;0,"Kita tarptautinė finansinė parama "&amp;"("&amp;E86&amp;")"&amp;" – "&amp;J80&amp;" proc.","")))</f>
        <v/>
      </c>
    </row>
    <row r="87" spans="1:14" ht="15" x14ac:dyDescent="0.2">
      <c r="A87" s="285"/>
      <c r="B87" s="376"/>
      <c r="C87" s="386"/>
      <c r="D87" s="386"/>
      <c r="E87" s="386"/>
      <c r="F87" s="395"/>
      <c r="I87" s="247">
        <f t="shared" ref="I87" si="9">ROUNDUP(MONTH(E91)/3,0)</f>
        <v>1</v>
      </c>
      <c r="J87" s="247">
        <f t="shared" ref="J87:J88" si="10">YEAR(E91)</f>
        <v>1900</v>
      </c>
    </row>
    <row r="88" spans="1:14" ht="15" x14ac:dyDescent="0.2">
      <c r="A88" s="285"/>
      <c r="B88" s="376"/>
      <c r="C88" s="389"/>
      <c r="D88" s="397" t="str">
        <f>IF($C$77="Nepildoma","","D")</f>
        <v>D</v>
      </c>
      <c r="E88" s="408" t="str">
        <f>IF($C$77="Nepildoma","","E")</f>
        <v>E</v>
      </c>
      <c r="F88" s="428"/>
      <c r="I88" s="247">
        <v>4</v>
      </c>
      <c r="J88" s="247">
        <f t="shared" si="10"/>
        <v>1900</v>
      </c>
    </row>
    <row r="89" spans="1:14" ht="60" x14ac:dyDescent="0.2">
      <c r="A89" s="285"/>
      <c r="B89" s="376"/>
      <c r="C89" s="389" t="str">
        <f>IF($C$77="Nepildoma","",(IF($D$67="Nenumatoma naudoti ES lėšų","","Įtraukimas į sąrašą")))</f>
        <v>Įtraukimas į sąrašą</v>
      </c>
      <c r="D89" s="446" t="str">
        <f t="shared" ref="D89:D90" si="11">IF(NOT($I$67),IF(YEAR(E89)&gt;2013,YEAR(E89)&amp;" m. "&amp;ROMAN(ROUNDUP(MONTH(E89)/3,0))&amp;" ketv.",""),"")</f>
        <v/>
      </c>
      <c r="E89" s="530"/>
      <c r="F89" s="447" t="str">
        <f>IF($C$77="Nepildoma","",(IF($D$67="Nenumatoma naudoti ES lėšų","","← E stulpelyje nurodykite preliminarią datą (formatas YYYY-MM-DD); data bus automatiškai suapvalinta ketvirčių tikslumu")))</f>
        <v>← E stulpelyje nurodykite preliminarią datą (formatas YYYY-MM-DD); data bus automatiškai suapvalinta ketvirčių tikslumu</v>
      </c>
      <c r="J89" s="247" t="b">
        <f>ISBLANK(E89)</f>
        <v>1</v>
      </c>
      <c r="K89" s="247" t="b">
        <f>ISBLANK(E90)</f>
        <v>1</v>
      </c>
      <c r="L89" s="247" t="b">
        <f>NOT(ISBLANK(E91))</f>
        <v>0</v>
      </c>
      <c r="M89" s="247" t="b">
        <f>M91</f>
        <v>0</v>
      </c>
      <c r="N89" s="247" t="b">
        <f>AND(J89:M89)</f>
        <v>0</v>
      </c>
    </row>
    <row r="90" spans="1:14" ht="60" x14ac:dyDescent="0.2">
      <c r="A90" s="285"/>
      <c r="B90" s="376"/>
      <c r="C90" s="389" t="str">
        <f>IF($C$77="Nepildoma","",(IF($D$67="Nenumatoma naudoti ES lėšų","","Paraiškos pateikimas įgyvendinančiajai institucijai")))</f>
        <v>Paraiškos pateikimas įgyvendinančiajai institucijai</v>
      </c>
      <c r="D90" s="446" t="str">
        <f t="shared" si="11"/>
        <v/>
      </c>
      <c r="E90" s="530"/>
      <c r="F90" s="447" t="str">
        <f>IF($C$77="Nepildoma","",(IF($D$67="Nenumatoma naudoti ES lėšų","","← E stulpelyje nurodykite preliminarią datą (formatas YYYY-MM-DD); data bus automatiškai suapvalinta ketvirčių tikslumu")))</f>
        <v>← E stulpelyje nurodykite preliminarią datą (formatas YYYY-MM-DD); data bus automatiškai suapvalinta ketvirčių tikslumu</v>
      </c>
      <c r="K90" s="247" t="s">
        <v>45</v>
      </c>
      <c r="L90" s="247" t="s">
        <v>46</v>
      </c>
      <c r="M90" s="247" t="s">
        <v>47</v>
      </c>
      <c r="N90" s="247" t="s">
        <v>48</v>
      </c>
    </row>
    <row r="91" spans="1:14" ht="60" x14ac:dyDescent="0.2">
      <c r="A91" s="285"/>
      <c r="B91" s="376"/>
      <c r="C91" s="389" t="str">
        <f>IF($C$77="Nepildoma","",(IF($D$67="Nenumatoma naudoti ES lėšų","Įgyvendinimo pradžia","Finansavimo sutarties sudarymas")))</f>
        <v>Finansavimo sutarties sudarymas</v>
      </c>
      <c r="D91" s="446" t="str">
        <f>IF(YEAR(E91)&gt;2013,YEAR(E91),"")</f>
        <v/>
      </c>
      <c r="E91" s="530"/>
      <c r="F91" s="447" t="str">
        <f>IF($C$77="Nepildoma","","← E stulpelyje nurodykite preliminarią datą (formatas YYYY-MM-DD), data bus automatiškai suapvalinta metų tikslumu")</f>
        <v>← E stulpelyje nurodykite preliminarią datą (formatas YYYY-MM-DD), data bus automatiškai suapvalinta metų tikslumu</v>
      </c>
      <c r="J91" s="247" t="b">
        <f>NOT(ISBLANK(E89))</f>
        <v>0</v>
      </c>
      <c r="K91" s="247" t="b">
        <f>IF(E90&gt;E89,TRUE,FALSE)</f>
        <v>0</v>
      </c>
      <c r="L91" s="247" t="b">
        <f>IF(E91&gt;E90,TRUE,FALSE)</f>
        <v>0</v>
      </c>
      <c r="M91" s="247" t="b">
        <f>IF(E92&gt;E91,TRUE,FALSE)</f>
        <v>0</v>
      </c>
      <c r="N91" s="247" t="b">
        <f>AND(J91,K91,L91,M91)</f>
        <v>0</v>
      </c>
    </row>
    <row r="92" spans="1:14" ht="60" x14ac:dyDescent="0.2">
      <c r="A92" s="285"/>
      <c r="B92" s="376"/>
      <c r="C92" s="389" t="str">
        <f>IF($C$77="Nepildoma","","Projekto užbaigimas")</f>
        <v>Projekto užbaigimas</v>
      </c>
      <c r="D92" s="446" t="str">
        <f>IF(YEAR(E92)&gt;2013,YEAR(E92),"")</f>
        <v/>
      </c>
      <c r="E92" s="530"/>
      <c r="F92" s="447" t="str">
        <f>IF($C$77="Nepildoma","","← E stulpelyje nurodykite preliminarią datą (formatas YYYY-MM-DD), data bus automatiškai suapvalinta metų tikslumu")</f>
        <v>← E stulpelyje nurodykite preliminarią datą (formatas YYYY-MM-DD), data bus automatiškai suapvalinta metų tikslumu</v>
      </c>
      <c r="K92" s="247" t="s">
        <v>49</v>
      </c>
      <c r="L92" s="247" t="s">
        <v>50</v>
      </c>
    </row>
    <row r="93" spans="1:14" ht="15" x14ac:dyDescent="0.2">
      <c r="A93" s="285"/>
      <c r="B93" s="376"/>
      <c r="C93" s="386"/>
      <c r="D93" s="380"/>
      <c r="E93" s="386"/>
      <c r="F93" s="395"/>
      <c r="H93" s="247"/>
    </row>
    <row r="94" spans="1:14" ht="15" x14ac:dyDescent="0.25">
      <c r="A94" s="285"/>
      <c r="B94" s="376"/>
      <c r="C94" s="448" t="s">
        <v>21</v>
      </c>
      <c r="D94" s="449"/>
      <c r="E94" s="450"/>
      <c r="F94" s="451"/>
      <c r="H94" s="248"/>
      <c r="K94" s="247" t="b">
        <f>IF(D67="Nenumatoma naudoti ES lėšų",FALSE,TRUE)</f>
        <v>1</v>
      </c>
      <c r="L94" s="247" t="b">
        <f>NOT(ISNUMBER(D85))</f>
        <v>1</v>
      </c>
      <c r="M94" s="247" t="b">
        <f>OR(K94,L94)</f>
        <v>1</v>
      </c>
    </row>
    <row r="95" spans="1:14" ht="15.75" thickBot="1" x14ac:dyDescent="0.3">
      <c r="A95" s="285"/>
      <c r="B95" s="390"/>
      <c r="C95" s="403"/>
      <c r="D95" s="403"/>
      <c r="E95" s="417"/>
      <c r="F95" s="418"/>
      <c r="H95" s="248"/>
      <c r="K95" s="247" t="b">
        <f>IF(D82&gt;0,TRUE,FALSE)</f>
        <v>0</v>
      </c>
      <c r="L95" s="247" t="b">
        <f>OR(LEN(D65)&gt;1,LEN(E65)&gt;1)</f>
        <v>0</v>
      </c>
    </row>
    <row r="96" spans="1:14" ht="15" x14ac:dyDescent="0.25">
      <c r="A96" s="285"/>
      <c r="B96" s="474"/>
      <c r="C96" s="438"/>
      <c r="D96" s="438"/>
      <c r="E96" s="476"/>
      <c r="F96" s="476"/>
      <c r="H96" s="248"/>
    </row>
    <row r="97" spans="1:15" ht="16.5" thickBot="1" x14ac:dyDescent="0.3">
      <c r="A97" s="285"/>
      <c r="B97" s="367" t="s">
        <v>999</v>
      </c>
      <c r="C97" s="419"/>
      <c r="D97" s="419"/>
      <c r="E97" s="452"/>
      <c r="F97" s="452"/>
      <c r="H97" s="248"/>
      <c r="K97" s="247" t="b">
        <f>IF(K95=FALSE,TRUE,L95)</f>
        <v>1</v>
      </c>
    </row>
    <row r="98" spans="1:15" ht="30" customHeight="1" x14ac:dyDescent="0.2">
      <c r="A98" s="285"/>
      <c r="B98" s="368"/>
      <c r="C98" s="370" t="str">
        <f>IF($K$33,"Nepildoma","")</f>
        <v/>
      </c>
      <c r="D98" s="584" t="str">
        <f>IF(K32,"Veiklos norodomos automatiškai, "&amp;ROW(D17)&amp;" eilutėje įvedus unikalų keičiamo projekto numerį",IF(K30,"Norėdami įvesti naują projektą (neturintį unikalaus numerio), pasirinkite veiklas iš sąrašo E stulpelyje (nuo 1 iki 3 veiklų grupių)",""))</f>
        <v>Norėdami įvesti naują projektą (neturintį unikalaus numerio), pasirinkite veiklas iš sąrašo E stulpelyje (nuo 1 iki 3 veiklų grupių)</v>
      </c>
      <c r="E98" s="584"/>
      <c r="F98" s="585"/>
      <c r="H98" s="273"/>
    </row>
    <row r="99" spans="1:15" ht="30" x14ac:dyDescent="0.2">
      <c r="A99" s="285"/>
      <c r="B99" s="376"/>
      <c r="C99" s="382" t="str">
        <f>IF($C$98="Nepildoma","","Projektui priskirtos veiklų grupės")</f>
        <v>Projektui priskirtos veiklų grupės</v>
      </c>
      <c r="D99" s="397" t="s">
        <v>52</v>
      </c>
      <c r="E99" s="586" t="s">
        <v>53</v>
      </c>
      <c r="F99" s="587"/>
      <c r="H99" s="273"/>
      <c r="J99" s="258" t="str">
        <f>D65&amp;"V"</f>
        <v>V</v>
      </c>
    </row>
    <row r="100" spans="1:15" ht="15" x14ac:dyDescent="0.2">
      <c r="A100" s="285"/>
      <c r="B100" s="376"/>
      <c r="C100" s="443"/>
      <c r="D100" s="397" t="str">
        <f>IF($C$98="Nepildoma","","D")</f>
        <v>D</v>
      </c>
      <c r="E100" s="588" t="s">
        <v>54</v>
      </c>
      <c r="F100" s="589"/>
    </row>
    <row r="101" spans="1:15" ht="15" x14ac:dyDescent="0.2">
      <c r="A101" s="285"/>
      <c r="B101" s="376"/>
      <c r="C101" s="443" t="str">
        <f>IF($C$98="Nepildoma","","Pagrindinė veiklų grupė (kodas I)")</f>
        <v>Pagrindinė veiklų grupė (kodas I)</v>
      </c>
      <c r="D101" s="408" t="str">
        <f>IF(NOT(C98="Nepildoma"),IF(LEN(H101=2),H101,E101))</f>
        <v/>
      </c>
      <c r="E101" s="571" t="str">
        <f>IFERROR(INDEX(Veiklos!$D$3:$D$54,MATCH(E102,Veiklos!$C$3:$C$57,0),1),"")</f>
        <v/>
      </c>
      <c r="F101" s="579"/>
      <c r="H101" s="247" t="str">
        <f>MID(D17,9,2)</f>
        <v/>
      </c>
    </row>
    <row r="102" spans="1:15" ht="63" customHeight="1" x14ac:dyDescent="0.2">
      <c r="A102" s="285"/>
      <c r="B102" s="376"/>
      <c r="C102" s="424" t="str">
        <f>IF($C$98="Nepildoma","","Pagrindinė veiklų grupė (pavadinimas)")</f>
        <v>Pagrindinė veiklų grupė (pavadinimas)</v>
      </c>
      <c r="D102" s="525">
        <v>36</v>
      </c>
      <c r="E102" s="573"/>
      <c r="F102" s="574"/>
      <c r="H102" s="247"/>
    </row>
    <row r="103" spans="1:15" ht="15" x14ac:dyDescent="0.2">
      <c r="A103" s="285"/>
      <c r="B103" s="376"/>
      <c r="C103" s="424" t="str">
        <f>IF($C$98="Nepildoma","","Kodas (II)")</f>
        <v>Kodas (II)</v>
      </c>
      <c r="D103" s="453" t="str">
        <f>IF(NOT(C98="Nepildoma"),IF(LEN(H103=2),H103,E103))</f>
        <v/>
      </c>
      <c r="E103" s="580" t="str">
        <f>IFERROR(INDEX(Veiklos!$D$3:$D$54,MATCH(E104,Veiklos!$C$3:$C$57,0),1),"")</f>
        <v/>
      </c>
      <c r="F103" s="581"/>
      <c r="H103" s="247" t="str">
        <f>MID(D17,11,2)</f>
        <v/>
      </c>
    </row>
    <row r="104" spans="1:15" ht="56.25" customHeight="1" x14ac:dyDescent="0.2">
      <c r="A104" s="285"/>
      <c r="B104" s="376"/>
      <c r="C104" s="424" t="str">
        <f>IF($C$98="Nepildoma","","Susijusi veiklų grupė (I) (pavadinimas)")</f>
        <v>Susijusi veiklų grupė (I) (pavadinimas)</v>
      </c>
      <c r="D104" s="525"/>
      <c r="E104" s="573"/>
      <c r="F104" s="574"/>
    </row>
    <row r="105" spans="1:15" ht="15" x14ac:dyDescent="0.2">
      <c r="A105" s="285"/>
      <c r="B105" s="376"/>
      <c r="C105" s="424" t="str">
        <f>IF($C$98="Nepildoma","","Kodas (III)")</f>
        <v>Kodas (III)</v>
      </c>
      <c r="D105" s="453" t="str">
        <f>IF(NOT(C98="Nepildoma"),IF(LEN(H105=2),H105,E105))</f>
        <v/>
      </c>
      <c r="E105" s="580" t="str">
        <f>IFERROR(INDEX(Veiklos!$D$3:$D$54,MATCH(E106,Veiklos!$C$3:$C$57,0),1),"")</f>
        <v/>
      </c>
      <c r="F105" s="581"/>
      <c r="H105" s="268" t="str">
        <f>MID(D17,13,2)</f>
        <v/>
      </c>
    </row>
    <row r="106" spans="1:15" ht="52.5" customHeight="1" x14ac:dyDescent="0.2">
      <c r="A106" s="285"/>
      <c r="B106" s="376"/>
      <c r="C106" s="424" t="str">
        <f>IF($C$98="Nepildoma","","Susijusi veiklų grupė (II) (pavadinimas)")</f>
        <v>Susijusi veiklų grupė (II) (pavadinimas)</v>
      </c>
      <c r="D106" s="525" t="str">
        <f>Veiklos!B4</f>
        <v/>
      </c>
      <c r="E106" s="573"/>
      <c r="F106" s="574"/>
    </row>
    <row r="107" spans="1:15" ht="15" x14ac:dyDescent="0.2">
      <c r="A107" s="285"/>
      <c r="B107" s="376"/>
      <c r="C107" s="385"/>
      <c r="D107" s="380"/>
      <c r="E107" s="380"/>
      <c r="F107" s="395"/>
    </row>
    <row r="108" spans="1:15" ht="24.75" customHeight="1" x14ac:dyDescent="0.2">
      <c r="A108" s="285"/>
      <c r="B108" s="376"/>
      <c r="C108" s="448" t="s">
        <v>21</v>
      </c>
      <c r="D108" s="577"/>
      <c r="E108" s="577"/>
      <c r="F108" s="578"/>
      <c r="H108" s="248"/>
    </row>
    <row r="109" spans="1:15" ht="15.75" thickBot="1" x14ac:dyDescent="0.3">
      <c r="A109" s="285"/>
      <c r="B109" s="390"/>
      <c r="C109" s="404"/>
      <c r="D109" s="454"/>
      <c r="E109" s="417"/>
      <c r="F109" s="418"/>
      <c r="H109" s="248"/>
    </row>
    <row r="110" spans="1:15" s="478" customFormat="1" ht="15" x14ac:dyDescent="0.25">
      <c r="A110" s="477"/>
      <c r="B110" s="474"/>
      <c r="C110" s="480"/>
      <c r="D110" s="481"/>
      <c r="E110" s="476"/>
      <c r="F110" s="476"/>
      <c r="I110" s="479"/>
      <c r="J110" s="479"/>
      <c r="K110" s="479"/>
      <c r="L110" s="479"/>
      <c r="M110" s="479"/>
      <c r="N110" s="479"/>
      <c r="O110" s="479"/>
    </row>
    <row r="111" spans="1:15" ht="16.5" thickBot="1" x14ac:dyDescent="0.25">
      <c r="A111" s="285"/>
      <c r="B111" s="367" t="s">
        <v>195</v>
      </c>
      <c r="C111" s="455"/>
      <c r="D111" s="456"/>
      <c r="E111" s="419"/>
      <c r="F111" s="455"/>
      <c r="H111" s="248"/>
    </row>
    <row r="112" spans="1:15" ht="15" x14ac:dyDescent="0.2">
      <c r="A112" s="285"/>
      <c r="B112" s="368"/>
      <c r="C112" s="370" t="str">
        <f>IF($K$33,"Nepildoma","")</f>
        <v/>
      </c>
      <c r="D112" s="457"/>
      <c r="E112" s="392"/>
      <c r="F112" s="458"/>
      <c r="H112" s="248"/>
    </row>
    <row r="113" spans="1:20" ht="15" x14ac:dyDescent="0.2">
      <c r="A113" s="285"/>
      <c r="B113" s="376"/>
      <c r="C113" s="381" t="str">
        <f>IF($C$112="Nepildoma","","Produkto vertinimo kriterijai")</f>
        <v>Produkto vertinimo kriterijai</v>
      </c>
      <c r="D113" s="389"/>
      <c r="E113" s="389"/>
      <c r="F113" s="409"/>
      <c r="H113" s="247"/>
    </row>
    <row r="114" spans="1:20" ht="15.75" thickBot="1" x14ac:dyDescent="0.25">
      <c r="A114" s="285"/>
      <c r="B114" s="376"/>
      <c r="C114" s="389"/>
      <c r="D114" s="408" t="str">
        <f>IF($C$112="Nepildoma","","D")</f>
        <v>D</v>
      </c>
      <c r="E114" s="408" t="s">
        <v>54</v>
      </c>
      <c r="F114" s="428"/>
      <c r="H114" s="247"/>
      <c r="L114" s="247" t="s">
        <v>55</v>
      </c>
      <c r="M114" s="247" t="s">
        <v>56</v>
      </c>
      <c r="N114" s="247" t="s">
        <v>57</v>
      </c>
    </row>
    <row r="115" spans="1:20" ht="75.75" thickBot="1" x14ac:dyDescent="0.25">
      <c r="A115" s="285"/>
      <c r="B115" s="376"/>
      <c r="C115" s="424" t="str">
        <f>IF($C$112="Nepildoma","",T115)</f>
        <v>Kodas (I)</v>
      </c>
      <c r="D115" s="459">
        <f>IF(J115,VLOOKUP($D$67,Rodikliai!$A$2:$S$79,5,FALSE),E115)</f>
        <v>0</v>
      </c>
      <c r="E115" s="531"/>
      <c r="F115" s="460" t="str">
        <f>IF($C$112="Nepildoma","","← Pasirinkus VP ar KPP priemonę iš sąrašo VP ar KPP, rodiklių kodai nurodomi automatiškai. Jeigu įvedėte kitą priemonę arba nenumatote naudoti ES lėšų, nurodykite rodiklio kodą E stulpelyje")</f>
        <v>← Pasirinkus VP ar KPP priemonę iš sąrašo VP ar KPP, rodiklių kodai nurodomi automatiškai. Jeigu įvedėte kitą priemonę arba nenumatote naudoti ES lėšų, nurodykite rodiklio kodą E stulpelyje</v>
      </c>
      <c r="J115" s="279" t="b">
        <f>ISTEXT(VLOOKUP($D$67,Rodikliai!$A$2:$N$79,5,FALSE))</f>
        <v>0</v>
      </c>
      <c r="L115" s="252" t="b">
        <f>ISTEXT(D115)</f>
        <v>0</v>
      </c>
      <c r="M115" s="259" t="b">
        <f>ISNUMBER(D115)</f>
        <v>1</v>
      </c>
      <c r="N115" s="280" t="b">
        <f>NOT(AND((L115:L116)))</f>
        <v>1</v>
      </c>
      <c r="O115" s="281" t="b">
        <f>IF(P115=1,TRUE,FALSE)</f>
        <v>1</v>
      </c>
      <c r="P115" s="248">
        <f>MOD(L117+N115,2)</f>
        <v>1</v>
      </c>
      <c r="T115" s="247" t="s">
        <v>58</v>
      </c>
    </row>
    <row r="116" spans="1:20" ht="93" customHeight="1" thickBot="1" x14ac:dyDescent="0.25">
      <c r="A116" s="285"/>
      <c r="B116" s="376"/>
      <c r="C116" s="424" t="str">
        <f t="shared" ref="C116:C132" si="12">IF($C$112="Nepildoma","",T116)</f>
        <v>Produkto vertinimo kriterijus (I) (pavadinimas, matavimo vienetai)</v>
      </c>
      <c r="D116" s="461">
        <f>IF(J116,VLOOKUP($D$67,Rodikliai!$A$2:$S$79,4,FALSE),E116)</f>
        <v>0</v>
      </c>
      <c r="E116" s="532"/>
      <c r="F116" s="425" t="str">
        <f>IF($C$112="Nepildoma","","← Pasirinkus VP ar KPP priemonę iš sąrašo, rodiklių pavadinimai nurodomi automatiškai. Jeigu įvedėte kitą priemonę arba nenumatote naudoti ES lėšų, nurodykite rodiklio pavadinimą ir matavimo vienetus E stulpelyje")</f>
        <v>← Pasirinkus VP ar KPP priemonę iš sąrašo, rodiklių pavadinimai nurodomi automatiškai. Jeigu įvedėte kitą priemonę arba nenumatote naudoti ES lėšų, nurodykite rodiklio pavadinimą ir matavimo vienetus E stulpelyje</v>
      </c>
      <c r="J116" s="279" t="b">
        <f>ISTEXT(VLOOKUP($D$67,Rodikliai!$A$2:$N$79,5,FALSE))</f>
        <v>0</v>
      </c>
      <c r="L116" s="252" t="b">
        <f>ISTEXT(D116)</f>
        <v>0</v>
      </c>
      <c r="M116" s="259" t="b">
        <f t="shared" ref="M116:M128" si="13">ISNUMBER(D116)</f>
        <v>1</v>
      </c>
      <c r="N116" s="252"/>
      <c r="T116" s="247" t="s">
        <v>59</v>
      </c>
    </row>
    <row r="117" spans="1:20" ht="50.25" customHeight="1" thickBot="1" x14ac:dyDescent="0.25">
      <c r="A117" s="285"/>
      <c r="B117" s="376"/>
      <c r="C117" s="424" t="str">
        <f t="shared" si="12"/>
        <v>Siekiama reikšmė (I)</v>
      </c>
      <c r="D117" s="533"/>
      <c r="E117" s="445" t="str">
        <f>IF($C$112="Nepildoma","",IF(LEN(D115)&gt;1,"← D stulpelyje įrašykite rodiklio siektiną reikšmę (jeigu projektu nenumatoma siekti nurodyto rodiklio – įrašykite „0“)",""))</f>
        <v/>
      </c>
      <c r="F117" s="409"/>
      <c r="J117" s="282"/>
      <c r="L117" s="260" t="b">
        <f>ISNUMBER(D117)</f>
        <v>0</v>
      </c>
      <c r="M117" s="261"/>
      <c r="N117" s="262"/>
      <c r="O117" s="252"/>
      <c r="T117" s="247" t="s">
        <v>60</v>
      </c>
    </row>
    <row r="118" spans="1:20" ht="15" x14ac:dyDescent="0.2">
      <c r="A118" s="285"/>
      <c r="B118" s="376"/>
      <c r="C118" s="462" t="str">
        <f t="shared" si="12"/>
        <v>Kodas (II)</v>
      </c>
      <c r="D118" s="459">
        <f>IF(J118,VLOOKUP($D$67,Rodikliai!$A$2:$N$79,7,FALSE),E118)</f>
        <v>0</v>
      </c>
      <c r="E118" s="531"/>
      <c r="F118" s="409"/>
      <c r="J118" s="279" t="b">
        <f>ISTEXT(VLOOKUP($D$67,Rodikliai!$A$2:$N$79,5,FALSE))</f>
        <v>0</v>
      </c>
      <c r="L118" s="252" t="b">
        <f t="shared" ref="L118:L131" si="14">ISTEXT(D118)</f>
        <v>0</v>
      </c>
      <c r="M118" s="259" t="b">
        <f t="shared" si="13"/>
        <v>1</v>
      </c>
      <c r="N118" s="283" t="b">
        <f>NOT(AND((L118:L119)))</f>
        <v>1</v>
      </c>
      <c r="O118" s="281" t="b">
        <f>IF(P118=1,TRUE,FALSE)</f>
        <v>1</v>
      </c>
      <c r="P118" s="248">
        <f>MOD(L120+N118,2)</f>
        <v>1</v>
      </c>
      <c r="T118" s="247" t="s">
        <v>61</v>
      </c>
    </row>
    <row r="119" spans="1:20" ht="90" customHeight="1" x14ac:dyDescent="0.2">
      <c r="A119" s="285"/>
      <c r="B119" s="376"/>
      <c r="C119" s="462" t="str">
        <f t="shared" si="12"/>
        <v>Produkto vertinimo kriterijus (II) (pavadinimas, matavimo vienetai)</v>
      </c>
      <c r="D119" s="461">
        <f>IF(J119,VLOOKUP($D$67,Rodikliai!$A$2:$S$79,6,FALSE),E119)</f>
        <v>0</v>
      </c>
      <c r="E119" s="532"/>
      <c r="F119" s="409"/>
      <c r="J119" s="279" t="b">
        <f>ISTEXT(VLOOKUP($D$67,Rodikliai!$A$2:$N$79,5,FALSE))</f>
        <v>0</v>
      </c>
      <c r="L119" s="252" t="b">
        <f t="shared" si="14"/>
        <v>0</v>
      </c>
      <c r="M119" s="259" t="b">
        <f t="shared" si="13"/>
        <v>1</v>
      </c>
      <c r="N119" s="252"/>
      <c r="T119" s="247" t="s">
        <v>62</v>
      </c>
    </row>
    <row r="120" spans="1:20" ht="50.25" customHeight="1" x14ac:dyDescent="0.2">
      <c r="A120" s="285"/>
      <c r="B120" s="376"/>
      <c r="C120" s="462" t="str">
        <f t="shared" si="12"/>
        <v>Siekiama reikšmė (II)</v>
      </c>
      <c r="D120" s="533"/>
      <c r="E120" s="445" t="str">
        <f>IF($C$112="Nepildoma","",IF(LEN(D118)&gt;1,"← D stulpelyje įrašykite rodiklio siektiną reikšmę (jeigu projektu nenumatoma siekti nurodyto rodiklio – įrašykite „0“)",""))</f>
        <v/>
      </c>
      <c r="F120" s="409"/>
      <c r="J120" s="282"/>
      <c r="L120" s="262" t="b">
        <f>ISNUMBER(D120)</f>
        <v>0</v>
      </c>
      <c r="M120" s="261"/>
      <c r="N120" s="262"/>
      <c r="T120" s="247" t="s">
        <v>63</v>
      </c>
    </row>
    <row r="121" spans="1:20" ht="15" x14ac:dyDescent="0.2">
      <c r="A121" s="285"/>
      <c r="B121" s="376"/>
      <c r="C121" s="462" t="str">
        <f t="shared" si="12"/>
        <v>Kodas (III)</v>
      </c>
      <c r="D121" s="459">
        <f>IF(J121,VLOOKUP($D$67,Rodikliai!$A$2:$S$79,9,FALSE),E121)</f>
        <v>0</v>
      </c>
      <c r="E121" s="531"/>
      <c r="F121" s="409"/>
      <c r="J121" s="279" t="b">
        <f>ISTEXT(VLOOKUP($D$67,Rodikliai!$A$2:$N$79,5,FALSE))</f>
        <v>0</v>
      </c>
      <c r="L121" s="252" t="b">
        <f t="shared" si="14"/>
        <v>0</v>
      </c>
      <c r="M121" s="259" t="b">
        <f t="shared" si="13"/>
        <v>1</v>
      </c>
      <c r="N121" s="283" t="b">
        <f>NOT(AND(L121:L122))</f>
        <v>1</v>
      </c>
      <c r="O121" s="281" t="b">
        <f>IF(P121=1,TRUE,FALSE)</f>
        <v>1</v>
      </c>
      <c r="P121" s="248">
        <f>MOD(L123+N121,2)</f>
        <v>1</v>
      </c>
      <c r="T121" s="247" t="s">
        <v>64</v>
      </c>
    </row>
    <row r="122" spans="1:20" ht="74.099999999999994" customHeight="1" x14ac:dyDescent="0.2">
      <c r="A122" s="285"/>
      <c r="B122" s="376"/>
      <c r="C122" s="462" t="str">
        <f t="shared" si="12"/>
        <v>Produkto vertinimo kriterijus (III) (pavadinimas, matavimo vienetai)</v>
      </c>
      <c r="D122" s="461">
        <f>IF(J122,VLOOKUP($D$67,Rodikliai!$A$2:$S$79,8,FALSE),E122)</f>
        <v>0</v>
      </c>
      <c r="E122" s="534"/>
      <c r="F122" s="409"/>
      <c r="J122" s="279" t="b">
        <f>ISTEXT(VLOOKUP($D$67,Rodikliai!$A$2:$N$79,5,FALSE))</f>
        <v>0</v>
      </c>
      <c r="L122" s="252" t="b">
        <f t="shared" si="14"/>
        <v>0</v>
      </c>
      <c r="M122" s="259" t="b">
        <f t="shared" si="13"/>
        <v>1</v>
      </c>
      <c r="N122" s="252"/>
      <c r="T122" s="268" t="s">
        <v>65</v>
      </c>
    </row>
    <row r="123" spans="1:20" ht="50.25" customHeight="1" x14ac:dyDescent="0.2">
      <c r="A123" s="285"/>
      <c r="B123" s="376"/>
      <c r="C123" s="462" t="str">
        <f t="shared" si="12"/>
        <v>Siekiama reikšmė (III)</v>
      </c>
      <c r="D123" s="533"/>
      <c r="E123" s="389" t="str">
        <f>IF($C$112="Nepildoma","",IF(LEN(D121)&gt;1,"← D stulpelyje įrašykite rodiklio siektiną reikšmę (jeigu projektu nenumatoma siekti nurodyto rodiklio – įrašykite „0“)",""))</f>
        <v/>
      </c>
      <c r="F123" s="409"/>
      <c r="J123" s="282"/>
      <c r="L123" s="262" t="b">
        <f>ISNUMBER(D123)</f>
        <v>0</v>
      </c>
      <c r="M123" s="261"/>
      <c r="N123" s="262"/>
      <c r="T123" s="268" t="s">
        <v>66</v>
      </c>
    </row>
    <row r="124" spans="1:20" ht="15" customHeight="1" x14ac:dyDescent="0.2">
      <c r="A124" s="285"/>
      <c r="B124" s="376"/>
      <c r="C124" s="462" t="str">
        <f t="shared" si="12"/>
        <v>Kodas (IV)</v>
      </c>
      <c r="D124" s="463">
        <f>IF(J124,VLOOKUP($D$67,Rodikliai!$A$2:$S$79,11,FALSE),E124)</f>
        <v>0</v>
      </c>
      <c r="E124" s="534"/>
      <c r="F124" s="409"/>
      <c r="J124" s="279" t="b">
        <f>ISTEXT(VLOOKUP($D$67,Rodikliai!$A$2:$N$79,5,FALSE))</f>
        <v>0</v>
      </c>
      <c r="L124" s="252" t="b">
        <f t="shared" si="14"/>
        <v>0</v>
      </c>
      <c r="M124" s="259" t="b">
        <f t="shared" si="13"/>
        <v>1</v>
      </c>
      <c r="N124" s="283" t="b">
        <f>NOT(AND(L124:L125))</f>
        <v>1</v>
      </c>
      <c r="O124" s="281" t="b">
        <f>IF(P124=1,TRUE,FALSE)</f>
        <v>1</v>
      </c>
      <c r="P124" s="248">
        <f>MOD(L126+N124,2)</f>
        <v>1</v>
      </c>
      <c r="T124" s="268" t="s">
        <v>67</v>
      </c>
    </row>
    <row r="125" spans="1:20" ht="102" x14ac:dyDescent="0.2">
      <c r="A125" s="285"/>
      <c r="B125" s="376"/>
      <c r="C125" s="462" t="str">
        <f t="shared" si="12"/>
        <v>Produkto vertinimo kriterijus (IV) (pavadinimas, matavimo vienetai)</v>
      </c>
      <c r="D125" s="461">
        <f>IF(J125,VLOOKUP($D$67,Rodikliai!$A$2:$S$79,10,FALSE),E125)</f>
        <v>0</v>
      </c>
      <c r="E125" s="534"/>
      <c r="F125" s="409"/>
      <c r="J125" s="279" t="b">
        <f>ISTEXT(VLOOKUP($D$67,Rodikliai!$A$2:$N$79,5,FALSE))</f>
        <v>0</v>
      </c>
      <c r="L125" s="252" t="b">
        <f t="shared" si="14"/>
        <v>0</v>
      </c>
      <c r="M125" s="259" t="b">
        <f t="shared" si="13"/>
        <v>1</v>
      </c>
      <c r="N125" s="252"/>
      <c r="T125" s="268" t="s">
        <v>68</v>
      </c>
    </row>
    <row r="126" spans="1:20" ht="50.25" customHeight="1" x14ac:dyDescent="0.2">
      <c r="A126" s="285"/>
      <c r="B126" s="376"/>
      <c r="C126" s="462" t="str">
        <f t="shared" si="12"/>
        <v>Siekiama reikšmė (IV)</v>
      </c>
      <c r="D126" s="533"/>
      <c r="E126" s="389" t="str">
        <f>IF($C$112="Nepildoma","",IF(LEN(D124)&gt;1,"← D stulpelyje įrašykite rodiklio siektiną reikšmę (jeigu projektu nenumatoma siekti nurodyto rodiklio – įrašykite „0“)",""))</f>
        <v/>
      </c>
      <c r="F126" s="409"/>
      <c r="J126" s="282"/>
      <c r="L126" s="262" t="b">
        <f>ISNUMBER(D126)</f>
        <v>0</v>
      </c>
      <c r="M126" s="261"/>
      <c r="N126" s="262"/>
      <c r="T126" s="268" t="s">
        <v>69</v>
      </c>
    </row>
    <row r="127" spans="1:20" ht="15" x14ac:dyDescent="0.2">
      <c r="A127" s="285"/>
      <c r="B127" s="376"/>
      <c r="C127" s="462" t="str">
        <f t="shared" si="12"/>
        <v>Kodas (V)</v>
      </c>
      <c r="D127" s="463">
        <f>IF(J127,VLOOKUP($D$67,Rodikliai!$A$2:$S$79,13,FALSE),E127)</f>
        <v>0</v>
      </c>
      <c r="E127" s="534"/>
      <c r="F127" s="409"/>
      <c r="J127" s="279" t="b">
        <f>ISTEXT(VLOOKUP($D$67,Rodikliai!$A$2:$N$79,5,FALSE))</f>
        <v>0</v>
      </c>
      <c r="L127" s="252" t="b">
        <f t="shared" si="14"/>
        <v>0</v>
      </c>
      <c r="M127" s="259" t="b">
        <f t="shared" si="13"/>
        <v>1</v>
      </c>
      <c r="N127" s="283" t="b">
        <f>NOT(AND(L127:L128))</f>
        <v>1</v>
      </c>
      <c r="O127" s="281" t="b">
        <f>IF(P127=1,TRUE,FALSE)</f>
        <v>1</v>
      </c>
      <c r="P127" s="248">
        <f>MOD(L129+N127,2)</f>
        <v>1</v>
      </c>
      <c r="T127" s="268" t="s">
        <v>70</v>
      </c>
    </row>
    <row r="128" spans="1:20" ht="102" x14ac:dyDescent="0.2">
      <c r="A128" s="285"/>
      <c r="B128" s="376"/>
      <c r="C128" s="462" t="str">
        <f t="shared" si="12"/>
        <v>Produkto vertinimo kriterijus (V) (pavadinimas, matavimo vienetai)</v>
      </c>
      <c r="D128" s="463">
        <f>IF(J128,VLOOKUP($D$67,Rodikliai!$A$2:$S$79,12,FALSE),E128)</f>
        <v>0</v>
      </c>
      <c r="E128" s="534"/>
      <c r="F128" s="409"/>
      <c r="J128" s="279" t="b">
        <f>ISTEXT(VLOOKUP($D$67,Rodikliai!$A$2:$N$79,5,FALSE))</f>
        <v>0</v>
      </c>
      <c r="L128" s="252" t="b">
        <f t="shared" si="14"/>
        <v>0</v>
      </c>
      <c r="M128" s="259" t="b">
        <f t="shared" si="13"/>
        <v>1</v>
      </c>
      <c r="N128" s="252"/>
      <c r="T128" s="268" t="s">
        <v>71</v>
      </c>
    </row>
    <row r="129" spans="1:20" ht="50.25" customHeight="1" x14ac:dyDescent="0.2">
      <c r="A129" s="285"/>
      <c r="B129" s="376"/>
      <c r="C129" s="462" t="str">
        <f t="shared" si="12"/>
        <v>Siekiama reikšmė (V)</v>
      </c>
      <c r="D129" s="535"/>
      <c r="E129" s="389" t="str">
        <f>IF($C$112="Nepildoma","",IF(LEN(D127)&gt;1,"← D stulpelyje įrašykite rodiklio siektiną reikšmę (jeigu projektu nenumatoma siekti nurodyto rodiklio – įrašykite „0“)",""))</f>
        <v/>
      </c>
      <c r="F129" s="409"/>
      <c r="J129" s="279"/>
      <c r="L129" s="262" t="b">
        <f>ISNUMBER(D129)</f>
        <v>0</v>
      </c>
      <c r="M129" s="263"/>
      <c r="N129" s="263"/>
      <c r="T129" s="268" t="s">
        <v>72</v>
      </c>
    </row>
    <row r="130" spans="1:20" ht="18" customHeight="1" x14ac:dyDescent="0.2">
      <c r="A130" s="285"/>
      <c r="B130" s="376"/>
      <c r="C130" s="462" t="str">
        <f t="shared" si="12"/>
        <v>Kodas (VI)</v>
      </c>
      <c r="D130" s="463">
        <f>IF(J127,VLOOKUP($D$67,Rodikliai!$A$2:$S$79,15,FALSE),E130)</f>
        <v>0</v>
      </c>
      <c r="E130" s="534"/>
      <c r="F130" s="409"/>
      <c r="J130" s="279" t="b">
        <f>ISTEXT(VLOOKUP($D$67,Rodikliai!$A$2:$N$79,5,FALSE))</f>
        <v>0</v>
      </c>
      <c r="L130" s="252" t="b">
        <f>ISTEXT(D130)</f>
        <v>0</v>
      </c>
      <c r="M130" s="259" t="b">
        <f t="shared" ref="M130:M131" si="15">ISNUMBER(D130)</f>
        <v>1</v>
      </c>
      <c r="N130" s="283" t="b">
        <f>NOT(AND(L130:L131))</f>
        <v>1</v>
      </c>
      <c r="O130" s="281" t="b">
        <f>IF(P130=1,TRUE,FALSE)</f>
        <v>1</v>
      </c>
      <c r="P130" s="248">
        <f>MOD(L132+N130,2)</f>
        <v>1</v>
      </c>
      <c r="T130" s="268" t="s">
        <v>73</v>
      </c>
    </row>
    <row r="131" spans="1:20" ht="102" x14ac:dyDescent="0.2">
      <c r="A131" s="285"/>
      <c r="B131" s="376"/>
      <c r="C131" s="462" t="str">
        <f t="shared" si="12"/>
        <v>Produkto vertinimo kriterijus (VI) (pavadinimas, matavimo vienetai)</v>
      </c>
      <c r="D131" s="463">
        <f>IF(J128,VLOOKUP($D$67,Rodikliai!$A$2:$S$79,14,FALSE),E131)</f>
        <v>0</v>
      </c>
      <c r="E131" s="534"/>
      <c r="F131" s="409"/>
      <c r="J131" s="279" t="b">
        <f>ISTEXT(VLOOKUP($D$67,Rodikliai!$A$2:$N$79,5,FALSE))</f>
        <v>0</v>
      </c>
      <c r="L131" s="252" t="b">
        <f t="shared" si="14"/>
        <v>0</v>
      </c>
      <c r="M131" s="259" t="b">
        <f t="shared" si="15"/>
        <v>1</v>
      </c>
      <c r="N131" s="252"/>
      <c r="T131" s="268" t="s">
        <v>74</v>
      </c>
    </row>
    <row r="132" spans="1:20" ht="50.25" customHeight="1" x14ac:dyDescent="0.2">
      <c r="A132" s="285"/>
      <c r="B132" s="376"/>
      <c r="C132" s="462" t="str">
        <f t="shared" si="12"/>
        <v>Siekiama reikšmė (VI)</v>
      </c>
      <c r="D132" s="535"/>
      <c r="E132" s="389" t="str">
        <f>IF($C$112="Nepildoma","",IF(LEN(D130)&gt;1,"← D stulpelyje įrašykite rodiklio siektiną reikšmę (jeigu projektu nenumatoma siekti nurodyto rodiklio – įrašykite „0“)",""))</f>
        <v/>
      </c>
      <c r="F132" s="409"/>
      <c r="J132" s="279"/>
      <c r="L132" s="262" t="b">
        <f>ISNUMBER(D132)</f>
        <v>0</v>
      </c>
      <c r="M132" s="263"/>
      <c r="N132" s="263"/>
      <c r="T132" s="268" t="s">
        <v>75</v>
      </c>
    </row>
    <row r="133" spans="1:20" ht="15" x14ac:dyDescent="0.2">
      <c r="A133" s="285"/>
      <c r="B133" s="376"/>
      <c r="C133" s="386"/>
      <c r="D133" s="386"/>
      <c r="E133" s="386"/>
      <c r="F133" s="395"/>
    </row>
    <row r="134" spans="1:20" ht="30" customHeight="1" x14ac:dyDescent="0.25">
      <c r="A134" s="285"/>
      <c r="B134" s="376"/>
      <c r="C134" s="400" t="s">
        <v>21</v>
      </c>
      <c r="D134" s="551"/>
      <c r="E134" s="551"/>
      <c r="F134" s="378"/>
      <c r="H134" s="248"/>
      <c r="K134" s="247" t="s">
        <v>76</v>
      </c>
      <c r="L134" s="264" t="b">
        <f>OR(L129,L126,L123,L120,L117,L132)</f>
        <v>0</v>
      </c>
      <c r="M134" s="264" t="b">
        <f>IF(L135&gt;0,TRUE,FALSE)</f>
        <v>0</v>
      </c>
      <c r="N134" s="264" t="b">
        <f>OR(AND(L127:L128),AND(L124:L125),AND(L121:L122),AND(L118:L119),AND(L115:L116),AND(L130:L131))</f>
        <v>0</v>
      </c>
      <c r="O134" s="265" t="b">
        <f>AND(L134,N134,O127,O124,O121,O118,O115,M134,O130)</f>
        <v>0</v>
      </c>
    </row>
    <row r="135" spans="1:20" ht="15.75" thickBot="1" x14ac:dyDescent="0.3">
      <c r="A135" s="285"/>
      <c r="B135" s="390"/>
      <c r="C135" s="403"/>
      <c r="D135" s="403"/>
      <c r="E135" s="417"/>
      <c r="F135" s="418"/>
      <c r="H135" s="248"/>
      <c r="L135" s="266">
        <f>D129+D126+D123+D120+D117+D132</f>
        <v>0</v>
      </c>
    </row>
  </sheetData>
  <sheetProtection autoFilter="0"/>
  <mergeCells count="23">
    <mergeCell ref="E104:F104"/>
    <mergeCell ref="E105:F105"/>
    <mergeCell ref="D59:E59"/>
    <mergeCell ref="D60:E60"/>
    <mergeCell ref="D98:F98"/>
    <mergeCell ref="E99:F99"/>
    <mergeCell ref="E100:F100"/>
    <mergeCell ref="D134:E134"/>
    <mergeCell ref="D20:F20"/>
    <mergeCell ref="D58:E58"/>
    <mergeCell ref="D27:F29"/>
    <mergeCell ref="B6:F6"/>
    <mergeCell ref="D21:F21"/>
    <mergeCell ref="D34:F34"/>
    <mergeCell ref="C39:E39"/>
    <mergeCell ref="D57:E57"/>
    <mergeCell ref="B22:F22"/>
    <mergeCell ref="E106:F106"/>
    <mergeCell ref="D72:F72"/>
    <mergeCell ref="D108:F108"/>
    <mergeCell ref="E101:F101"/>
    <mergeCell ref="E102:F102"/>
    <mergeCell ref="E103:F103"/>
  </mergeCells>
  <dataValidations count="19">
    <dataValidation type="date" allowBlank="1" showInputMessage="1" showErrorMessage="1" sqref="F10">
      <formula1>42735</formula1>
      <formula2>45291</formula2>
    </dataValidation>
    <dataValidation type="list" allowBlank="1" showInputMessage="1" showErrorMessage="1" sqref="D13">
      <formula1>INDIRECT($D$12)</formula1>
    </dataValidation>
    <dataValidation allowBlank="1" showInputMessage="1" showErrorMessage="1" sqref="E17 D18:E18 I103:L103 D107 D109:D112 C28:C30"/>
    <dataValidation type="textLength" allowBlank="1" showInputMessage="1" showErrorMessage="1" sqref="D34:E35 D21:F21">
      <formula1>1</formula1>
      <formula2>700</formula2>
    </dataValidation>
    <dataValidation type="textLength" allowBlank="1" showInputMessage="1" showErrorMessage="1" sqref="D32">
      <formula1>9</formula1>
      <formula2>12</formula2>
    </dataValidation>
    <dataValidation type="textLength" allowBlank="1" showInputMessage="1" showErrorMessage="1" sqref="D46">
      <formula1>4</formula1>
      <formula2>6</formula2>
    </dataValidation>
    <dataValidation type="textLength" allowBlank="1" showInputMessage="1" showErrorMessage="1" sqref="D47">
      <formula1>4</formula1>
      <formula2>5</formula2>
    </dataValidation>
    <dataValidation type="textLength" allowBlank="1" showInputMessage="1" showErrorMessage="1" sqref="D48">
      <formula1>6</formula1>
      <formula2>9</formula2>
    </dataValidation>
    <dataValidation type="textLength" allowBlank="1" showInputMessage="1" showErrorMessage="1" sqref="D59:E59 D61:E61">
      <formula1>0</formula1>
      <formula2>150</formula2>
    </dataValidation>
    <dataValidation type="list" allowBlank="1" showInputMessage="1" showErrorMessage="1" sqref="D65">
      <formula1>Ministerija</formula1>
    </dataValidation>
    <dataValidation type="list" showInputMessage="1" showErrorMessage="1" sqref="D67">
      <formula1>INDIRECT($D$65)</formula1>
    </dataValidation>
    <dataValidation type="list" allowBlank="1" showInputMessage="1" showErrorMessage="1" sqref="D66">
      <formula1>savivaldybes</formula1>
    </dataValidation>
    <dataValidation type="whole" allowBlank="1" showInputMessage="1" showErrorMessage="1" sqref="D80">
      <formula1>SUM(D81:D85)</formula1>
      <formula2>SUM(D81:D85)</formula2>
    </dataValidation>
    <dataValidation allowBlank="1" showInputMessage="1" showErrorMessage="1" sqref="D102 D106 D104">
      <formula1>INDIRECT($J$99)</formula1>
    </dataValidation>
    <dataValidation type="date" showInputMessage="1" showErrorMessage="1" sqref="E92:E93">
      <formula1>41640</formula1>
      <formula2>45291</formula2>
    </dataValidation>
    <dataValidation type="list" allowBlank="1" showInputMessage="1" showErrorMessage="1" sqref="E102:F102 E106:F106 E104:F104">
      <formula1>INDIRECT($J$99)</formula1>
    </dataValidation>
    <dataValidation type="decimal" allowBlank="1" showInputMessage="1" showErrorMessage="1" sqref="D117 J117 D120 J120 D123 J123 D126 J126 D129 D132 D81:D87">
      <formula1>0</formula1>
      <formula2>1000000000</formula2>
    </dataValidation>
    <dataValidation type="date" showInputMessage="1" showErrorMessage="1" sqref="E89:E91">
      <formula1>41640</formula1>
      <formula2>44196</formula2>
    </dataValidation>
    <dataValidation type="textLength" allowBlank="1" showInputMessage="1" showErrorMessage="1" sqref="D60:E60">
      <formula1>0</formula1>
      <formula2>700</formula2>
    </dataValidation>
  </dataValidations>
  <pageMargins left="0.7" right="0.7" top="0.75" bottom="0.75" header="0.3" footer="0.3"/>
  <pageSetup paperSize="9" scale="49" fitToHeight="0" orientation="portrait" r:id="rId1"/>
  <rowBreaks count="2" manualBreakCount="2">
    <brk id="53" max="16383" man="1"/>
    <brk id="95" max="16383" man="1"/>
  </rowBreaks>
  <colBreaks count="1" manualBreakCount="1">
    <brk id="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32" r:id="rId4" name="Check Box 84">
              <controlPr locked="0" defaultSize="0" autoFill="0" autoLine="0" autoPict="0">
                <anchor moveWithCells="1">
                  <from>
                    <xdr:col>1</xdr:col>
                    <xdr:colOff>28575</xdr:colOff>
                    <xdr:row>45</xdr:row>
                    <xdr:rowOff>38100</xdr:rowOff>
                  </from>
                  <to>
                    <xdr:col>1</xdr:col>
                    <xdr:colOff>333375</xdr:colOff>
                    <xdr:row>45</xdr:row>
                    <xdr:rowOff>257175</xdr:rowOff>
                  </to>
                </anchor>
              </controlPr>
            </control>
          </mc:Choice>
        </mc:AlternateContent>
        <mc:AlternateContent xmlns:mc="http://schemas.openxmlformats.org/markup-compatibility/2006">
          <mc:Choice Requires="x14">
            <control shapeId="2133" r:id="rId5" name="Check Box 85">
              <controlPr locked="0" defaultSize="0" autoFill="0" autoLine="0" autoPict="0">
                <anchor moveWithCells="1">
                  <from>
                    <xdr:col>1</xdr:col>
                    <xdr:colOff>28575</xdr:colOff>
                    <xdr:row>46</xdr:row>
                    <xdr:rowOff>142875</xdr:rowOff>
                  </from>
                  <to>
                    <xdr:col>1</xdr:col>
                    <xdr:colOff>333375</xdr:colOff>
                    <xdr:row>46</xdr:row>
                    <xdr:rowOff>361950</xdr:rowOff>
                  </to>
                </anchor>
              </controlPr>
            </control>
          </mc:Choice>
        </mc:AlternateContent>
        <mc:AlternateContent xmlns:mc="http://schemas.openxmlformats.org/markup-compatibility/2006">
          <mc:Choice Requires="x14">
            <control shapeId="2134" r:id="rId6" name="Check Box 86">
              <controlPr locked="0" defaultSize="0" autoFill="0" autoLine="0" autoPict="0">
                <anchor moveWithCells="1">
                  <from>
                    <xdr:col>1</xdr:col>
                    <xdr:colOff>28575</xdr:colOff>
                    <xdr:row>48</xdr:row>
                    <xdr:rowOff>104775</xdr:rowOff>
                  </from>
                  <to>
                    <xdr:col>1</xdr:col>
                    <xdr:colOff>333375</xdr:colOff>
                    <xdr:row>48</xdr:row>
                    <xdr:rowOff>323850</xdr:rowOff>
                  </to>
                </anchor>
              </controlPr>
            </control>
          </mc:Choice>
        </mc:AlternateContent>
        <mc:AlternateContent xmlns:mc="http://schemas.openxmlformats.org/markup-compatibility/2006">
          <mc:Choice Requires="x14">
            <control shapeId="2135" r:id="rId7" name="Check Box 87">
              <controlPr locked="0" defaultSize="0" autoFill="0" autoLine="0" autoPict="0">
                <anchor moveWithCells="1">
                  <from>
                    <xdr:col>1</xdr:col>
                    <xdr:colOff>28575</xdr:colOff>
                    <xdr:row>47</xdr:row>
                    <xdr:rowOff>76200</xdr:rowOff>
                  </from>
                  <to>
                    <xdr:col>1</xdr:col>
                    <xdr:colOff>333375</xdr:colOff>
                    <xdr:row>47</xdr:row>
                    <xdr:rowOff>295275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InputMessage="1" showErrorMessage="1">
          <x14:formula1>
            <xm:f>sąrašai!$C$131:$C$133</xm:f>
          </x14:formula1>
          <xm:sqref>D15</xm:sqref>
        </x14:dataValidation>
        <x14:dataValidation allowBlank="1" showInputMessage="1" showErrorMessage="1">
          <x14:formula1>
            <xm:f>sąrašai!$C$131:$C$133</xm:f>
          </x14:formula1>
          <xm:sqref>D16</xm:sqref>
        </x14:dataValidation>
        <x14:dataValidation type="list" allowBlank="1" showInputMessage="1" showErrorMessage="1">
          <x14:formula1>
            <xm:f>sąrašai!$C$90:$C$99</xm:f>
          </x14:formula1>
          <xm:sqref>D12</xm:sqref>
        </x14:dataValidation>
        <x14:dataValidation type="list" allowBlank="1" showInputMessage="1" showErrorMessage="1">
          <x14:formula1>
            <xm:f>sąrašai!$C$111:$C$114</xm:f>
          </x14:formula1>
          <xm:sqref>D69</xm:sqref>
        </x14:dataValidation>
        <x14:dataValidation type="list" allowBlank="1" showInputMessage="1" showErrorMessage="1">
          <x14:formula1>
            <xm:f>sąrašai!$C$135:$C$137</xm:f>
          </x14:formula1>
          <xm:sqref>C27</xm:sqref>
        </x14:dataValidation>
        <x14:dataValidation type="list" allowBlank="1" showInputMessage="1" showErrorMessage="1">
          <x14:formula1>
            <xm:f>sąrašai!$C$104:$C$106</xm:f>
          </x14:formula1>
          <xm:sqref>D68</xm:sqref>
        </x14:dataValidation>
        <x14:dataValidation type="list" allowBlank="1" showInputMessage="1" showErrorMessage="1">
          <x14:formula1>
            <xm:f>sąrašai!$C$118:$C$119</xm:f>
          </x14:formula1>
          <xm:sqref>D70</xm:sqref>
        </x14:dataValidation>
        <x14:dataValidation type="list" allowBlank="1" showInputMessage="1" showErrorMessage="1">
          <x14:formula1>
            <xm:f>Veiklos!$D$59:$D$69</xm:f>
          </x14:formula1>
          <xm:sqref>J99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59"/>
  <sheetViews>
    <sheetView topLeftCell="A16" workbookViewId="0">
      <selection activeCell="B43" sqref="B43"/>
    </sheetView>
  </sheetViews>
  <sheetFormatPr defaultRowHeight="15" x14ac:dyDescent="0.25"/>
  <cols>
    <col min="1" max="1" width="3.42578125" customWidth="1"/>
    <col min="2" max="2" width="119.28515625" customWidth="1"/>
    <col min="3" max="3" width="27.28515625" customWidth="1"/>
  </cols>
  <sheetData>
    <row r="1" spans="2:3" ht="17.25" customHeight="1" x14ac:dyDescent="0.25">
      <c r="C1" s="548" t="s">
        <v>947</v>
      </c>
    </row>
    <row r="2" spans="2:3" ht="15.75" x14ac:dyDescent="0.25">
      <c r="C2" s="548" t="s">
        <v>948</v>
      </c>
    </row>
    <row r="3" spans="2:3" ht="15.75" x14ac:dyDescent="0.25">
      <c r="B3" s="547"/>
      <c r="C3" s="548" t="s">
        <v>1023</v>
      </c>
    </row>
    <row r="5" spans="2:3" ht="15.75" x14ac:dyDescent="0.25">
      <c r="B5" s="490" t="s">
        <v>1007</v>
      </c>
    </row>
    <row r="6" spans="2:3" s="360" customFormat="1" x14ac:dyDescent="0.25">
      <c r="B6" s="482" t="s">
        <v>1001</v>
      </c>
      <c r="C6" s="482" t="s">
        <v>495</v>
      </c>
    </row>
    <row r="7" spans="2:3" ht="15.75" x14ac:dyDescent="0.25">
      <c r="B7" s="13"/>
      <c r="C7" s="496" t="s">
        <v>507</v>
      </c>
    </row>
    <row r="8" spans="2:3" ht="15.75" x14ac:dyDescent="0.25">
      <c r="B8" s="483" t="s">
        <v>508</v>
      </c>
      <c r="C8" s="496" t="s">
        <v>509</v>
      </c>
    </row>
    <row r="9" spans="2:3" ht="15.75" x14ac:dyDescent="0.25">
      <c r="B9" s="483" t="s">
        <v>516</v>
      </c>
      <c r="C9" s="496" t="s">
        <v>517</v>
      </c>
    </row>
    <row r="10" spans="2:3" ht="15.75" x14ac:dyDescent="0.25">
      <c r="B10" s="483" t="s">
        <v>525</v>
      </c>
      <c r="C10" s="496" t="s">
        <v>526</v>
      </c>
    </row>
    <row r="11" spans="2:3" ht="15.75" x14ac:dyDescent="0.25">
      <c r="B11" s="483" t="s">
        <v>532</v>
      </c>
      <c r="C11" s="496" t="s">
        <v>533</v>
      </c>
    </row>
    <row r="12" spans="2:3" ht="15.75" x14ac:dyDescent="0.25">
      <c r="B12" s="483" t="s">
        <v>538</v>
      </c>
      <c r="C12" s="496" t="s">
        <v>539</v>
      </c>
    </row>
    <row r="13" spans="2:3" ht="15.75" x14ac:dyDescent="0.25">
      <c r="B13" s="483" t="s">
        <v>544</v>
      </c>
      <c r="C13" s="496" t="s">
        <v>545</v>
      </c>
    </row>
    <row r="14" spans="2:3" ht="15.75" x14ac:dyDescent="0.25">
      <c r="B14" s="483" t="s">
        <v>549</v>
      </c>
      <c r="C14" s="496" t="s">
        <v>550</v>
      </c>
    </row>
    <row r="15" spans="2:3" ht="15.75" x14ac:dyDescent="0.25">
      <c r="B15" s="483" t="s">
        <v>552</v>
      </c>
      <c r="C15" s="496" t="s">
        <v>553</v>
      </c>
    </row>
    <row r="16" spans="2:3" ht="15.75" x14ac:dyDescent="0.25">
      <c r="B16" s="483" t="s">
        <v>512</v>
      </c>
      <c r="C16" s="496" t="s">
        <v>556</v>
      </c>
    </row>
    <row r="17" spans="2:3" ht="15.75" x14ac:dyDescent="0.25">
      <c r="B17" s="483" t="s">
        <v>520</v>
      </c>
      <c r="C17" s="496" t="s">
        <v>559</v>
      </c>
    </row>
    <row r="18" spans="2:3" ht="15.75" x14ac:dyDescent="0.25">
      <c r="B18" s="483" t="s">
        <v>524</v>
      </c>
      <c r="C18" s="496" t="s">
        <v>562</v>
      </c>
    </row>
    <row r="19" spans="2:3" ht="15.75" x14ac:dyDescent="0.25">
      <c r="B19" s="483" t="s">
        <v>531</v>
      </c>
      <c r="C19" s="496" t="s">
        <v>564</v>
      </c>
    </row>
    <row r="20" spans="2:3" ht="15.75" x14ac:dyDescent="0.25">
      <c r="B20" s="483" t="s">
        <v>537</v>
      </c>
      <c r="C20" s="496" t="s">
        <v>566</v>
      </c>
    </row>
    <row r="21" spans="2:3" ht="15.75" x14ac:dyDescent="0.25">
      <c r="B21" s="483" t="s">
        <v>543</v>
      </c>
      <c r="C21" s="496" t="s">
        <v>568</v>
      </c>
    </row>
    <row r="22" spans="2:3" ht="15.75" x14ac:dyDescent="0.25">
      <c r="B22" s="483" t="s">
        <v>551</v>
      </c>
      <c r="C22" s="496" t="s">
        <v>571</v>
      </c>
    </row>
    <row r="23" spans="2:3" ht="15.75" x14ac:dyDescent="0.25">
      <c r="B23" s="483" t="s">
        <v>554</v>
      </c>
      <c r="C23" s="496" t="s">
        <v>573</v>
      </c>
    </row>
    <row r="24" spans="2:3" ht="15.75" x14ac:dyDescent="0.25">
      <c r="B24" s="483" t="s">
        <v>557</v>
      </c>
      <c r="C24" s="496" t="s">
        <v>575</v>
      </c>
    </row>
    <row r="25" spans="2:3" ht="15.75" x14ac:dyDescent="0.25">
      <c r="B25" s="483" t="s">
        <v>560</v>
      </c>
      <c r="C25" s="496" t="s">
        <v>577</v>
      </c>
    </row>
    <row r="26" spans="2:3" ht="31.5" x14ac:dyDescent="0.25">
      <c r="B26" s="484" t="s">
        <v>548</v>
      </c>
      <c r="C26" s="496" t="s">
        <v>578</v>
      </c>
    </row>
    <row r="27" spans="2:3" ht="15.75" x14ac:dyDescent="0.25">
      <c r="B27" s="483" t="s">
        <v>514</v>
      </c>
      <c r="C27" s="496" t="s">
        <v>579</v>
      </c>
    </row>
    <row r="28" spans="2:3" ht="15.75" x14ac:dyDescent="0.25">
      <c r="B28" s="483" t="s">
        <v>522</v>
      </c>
      <c r="C28" s="496" t="s">
        <v>580</v>
      </c>
    </row>
    <row r="29" spans="2:3" ht="15.75" x14ac:dyDescent="0.25">
      <c r="B29" s="483" t="s">
        <v>529</v>
      </c>
      <c r="C29" s="496" t="s">
        <v>581</v>
      </c>
    </row>
    <row r="30" spans="2:3" ht="15.75" x14ac:dyDescent="0.25">
      <c r="B30" s="483" t="s">
        <v>535</v>
      </c>
      <c r="C30" s="496" t="s">
        <v>582</v>
      </c>
    </row>
    <row r="31" spans="2:3" ht="15.75" x14ac:dyDescent="0.25">
      <c r="B31" s="483" t="s">
        <v>542</v>
      </c>
      <c r="C31" s="496" t="s">
        <v>583</v>
      </c>
    </row>
    <row r="32" spans="2:3" ht="15.75" x14ac:dyDescent="0.25">
      <c r="B32" s="483" t="s">
        <v>511</v>
      </c>
      <c r="C32" s="496" t="s">
        <v>584</v>
      </c>
    </row>
    <row r="33" spans="2:3" ht="15.75" x14ac:dyDescent="0.25">
      <c r="B33" s="483" t="s">
        <v>519</v>
      </c>
      <c r="C33" s="496" t="s">
        <v>585</v>
      </c>
    </row>
    <row r="34" spans="2:3" ht="15.75" x14ac:dyDescent="0.25">
      <c r="B34" s="483" t="s">
        <v>513</v>
      </c>
      <c r="C34" s="496" t="s">
        <v>586</v>
      </c>
    </row>
    <row r="35" spans="2:3" ht="15.75" x14ac:dyDescent="0.25">
      <c r="B35" s="483" t="s">
        <v>555</v>
      </c>
      <c r="C35" s="496" t="s">
        <v>587</v>
      </c>
    </row>
    <row r="36" spans="2:3" ht="15.75" x14ac:dyDescent="0.25">
      <c r="B36" s="483" t="s">
        <v>558</v>
      </c>
      <c r="C36" s="496" t="s">
        <v>588</v>
      </c>
    </row>
    <row r="37" spans="2:3" ht="15.75" x14ac:dyDescent="0.25">
      <c r="B37" s="483" t="s">
        <v>561</v>
      </c>
      <c r="C37" s="496" t="s">
        <v>589</v>
      </c>
    </row>
    <row r="38" spans="2:3" ht="15.75" x14ac:dyDescent="0.25">
      <c r="B38" s="483" t="s">
        <v>563</v>
      </c>
      <c r="C38" s="496" t="s">
        <v>590</v>
      </c>
    </row>
    <row r="39" spans="2:3" ht="15.75" x14ac:dyDescent="0.25">
      <c r="B39" s="483" t="s">
        <v>521</v>
      </c>
      <c r="C39" s="496" t="s">
        <v>591</v>
      </c>
    </row>
    <row r="40" spans="2:3" ht="15.75" x14ac:dyDescent="0.25">
      <c r="B40" s="483" t="s">
        <v>510</v>
      </c>
      <c r="C40" s="496" t="s">
        <v>592</v>
      </c>
    </row>
    <row r="41" spans="2:3" ht="15.75" x14ac:dyDescent="0.25">
      <c r="B41" s="483" t="s">
        <v>570</v>
      </c>
      <c r="C41" s="496" t="s">
        <v>593</v>
      </c>
    </row>
    <row r="42" spans="2:3" ht="15.75" x14ac:dyDescent="0.25">
      <c r="B42" s="483" t="s">
        <v>515</v>
      </c>
      <c r="C42" s="496" t="s">
        <v>594</v>
      </c>
    </row>
    <row r="43" spans="2:3" ht="15.75" x14ac:dyDescent="0.25">
      <c r="B43" s="483" t="s">
        <v>523</v>
      </c>
      <c r="C43" s="496" t="s">
        <v>595</v>
      </c>
    </row>
    <row r="44" spans="2:3" ht="15.75" x14ac:dyDescent="0.25">
      <c r="B44" s="483" t="s">
        <v>569</v>
      </c>
      <c r="C44" s="496" t="s">
        <v>596</v>
      </c>
    </row>
    <row r="45" spans="2:3" ht="15.75" x14ac:dyDescent="0.25">
      <c r="B45" s="483" t="s">
        <v>572</v>
      </c>
      <c r="C45" s="496" t="s">
        <v>597</v>
      </c>
    </row>
    <row r="46" spans="2:3" ht="15.75" x14ac:dyDescent="0.25">
      <c r="B46" s="483" t="s">
        <v>574</v>
      </c>
      <c r="C46" s="496" t="s">
        <v>598</v>
      </c>
    </row>
    <row r="47" spans="2:3" ht="15.75" x14ac:dyDescent="0.25">
      <c r="B47" s="483" t="s">
        <v>576</v>
      </c>
      <c r="C47" s="496" t="s">
        <v>599</v>
      </c>
    </row>
    <row r="48" spans="2:3" ht="15.75" x14ac:dyDescent="0.25">
      <c r="B48" s="483" t="s">
        <v>565</v>
      </c>
      <c r="C48" s="496" t="s">
        <v>600</v>
      </c>
    </row>
    <row r="49" spans="2:3" ht="15.75" x14ac:dyDescent="0.25">
      <c r="B49" s="483" t="s">
        <v>530</v>
      </c>
      <c r="C49" s="496" t="s">
        <v>601</v>
      </c>
    </row>
    <row r="50" spans="2:3" ht="15.75" x14ac:dyDescent="0.25">
      <c r="B50" s="483" t="s">
        <v>536</v>
      </c>
      <c r="C50" s="496" t="s">
        <v>602</v>
      </c>
    </row>
    <row r="51" spans="2:3" ht="15.75" x14ac:dyDescent="0.25">
      <c r="B51" s="483" t="s">
        <v>518</v>
      </c>
      <c r="C51" s="496" t="s">
        <v>603</v>
      </c>
    </row>
    <row r="52" spans="2:3" ht="15.75" x14ac:dyDescent="0.25">
      <c r="B52" s="483" t="s">
        <v>547</v>
      </c>
      <c r="C52" s="496" t="s">
        <v>604</v>
      </c>
    </row>
    <row r="53" spans="2:3" ht="15.75" x14ac:dyDescent="0.25">
      <c r="B53" s="483" t="s">
        <v>527</v>
      </c>
      <c r="C53" s="496" t="s">
        <v>605</v>
      </c>
    </row>
    <row r="54" spans="2:3" ht="15.75" x14ac:dyDescent="0.25">
      <c r="B54" s="483" t="s">
        <v>528</v>
      </c>
      <c r="C54" s="496" t="s">
        <v>606</v>
      </c>
    </row>
    <row r="55" spans="2:3" ht="15.75" x14ac:dyDescent="0.25">
      <c r="B55" s="483" t="s">
        <v>541</v>
      </c>
      <c r="C55" s="496" t="s">
        <v>607</v>
      </c>
    </row>
    <row r="56" spans="2:3" ht="15.75" x14ac:dyDescent="0.25">
      <c r="B56" s="483" t="s">
        <v>567</v>
      </c>
      <c r="C56" s="496" t="s">
        <v>608</v>
      </c>
    </row>
    <row r="57" spans="2:3" ht="15.75" x14ac:dyDescent="0.25">
      <c r="B57" s="483" t="s">
        <v>534</v>
      </c>
      <c r="C57" s="496" t="s">
        <v>609</v>
      </c>
    </row>
    <row r="58" spans="2:3" ht="15.75" x14ac:dyDescent="0.25">
      <c r="B58" s="483" t="s">
        <v>540</v>
      </c>
      <c r="C58" s="496" t="s">
        <v>610</v>
      </c>
    </row>
    <row r="59" spans="2:3" ht="15.75" x14ac:dyDescent="0.25">
      <c r="B59" s="483" t="s">
        <v>546</v>
      </c>
      <c r="C59" s="496" t="s">
        <v>611</v>
      </c>
    </row>
  </sheetData>
  <pageMargins left="0.25" right="0.25" top="0.75" bottom="0.75" header="0.3" footer="0.3"/>
  <pageSetup scale="6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61"/>
  <sheetViews>
    <sheetView topLeftCell="A13" workbookViewId="0">
      <selection activeCell="E65" sqref="E65"/>
    </sheetView>
  </sheetViews>
  <sheetFormatPr defaultRowHeight="15" x14ac:dyDescent="0.25"/>
  <cols>
    <col min="1" max="1" width="4.42578125" customWidth="1"/>
    <col min="2" max="2" width="9.140625" style="24"/>
    <col min="3" max="3" width="41.42578125" customWidth="1"/>
    <col min="4" max="4" width="30.140625" customWidth="1"/>
    <col min="5" max="5" width="110.140625" customWidth="1"/>
  </cols>
  <sheetData>
    <row r="1" spans="2:7" ht="18.75" customHeight="1" x14ac:dyDescent="0.25">
      <c r="E1" s="361" t="s">
        <v>1002</v>
      </c>
      <c r="F1" s="361"/>
      <c r="G1" s="361"/>
    </row>
    <row r="2" spans="2:7" ht="15.75" x14ac:dyDescent="0.25">
      <c r="E2" s="361" t="s">
        <v>1003</v>
      </c>
      <c r="F2" s="361"/>
      <c r="G2" s="361"/>
    </row>
    <row r="3" spans="2:7" ht="15.75" x14ac:dyDescent="0.25">
      <c r="E3" s="361" t="s">
        <v>1004</v>
      </c>
      <c r="F3" s="361"/>
      <c r="G3" s="361"/>
    </row>
    <row r="4" spans="2:7" ht="15.75" x14ac:dyDescent="0.25">
      <c r="C4" s="613"/>
      <c r="D4" s="613"/>
      <c r="E4" s="613"/>
    </row>
    <row r="5" spans="2:7" ht="15.75" x14ac:dyDescent="0.25">
      <c r="B5" s="497" t="s">
        <v>1008</v>
      </c>
    </row>
    <row r="6" spans="2:7" x14ac:dyDescent="0.25">
      <c r="B6" s="485"/>
      <c r="C6" s="482" t="s">
        <v>105</v>
      </c>
      <c r="D6" s="482" t="s">
        <v>213</v>
      </c>
      <c r="E6" s="482" t="s">
        <v>780</v>
      </c>
    </row>
    <row r="7" spans="2:7" ht="15.75" x14ac:dyDescent="0.25">
      <c r="B7" s="486" t="s">
        <v>950</v>
      </c>
      <c r="C7" s="362" t="s">
        <v>214</v>
      </c>
      <c r="D7" s="362" t="s">
        <v>215</v>
      </c>
      <c r="E7" s="362" t="s">
        <v>216</v>
      </c>
    </row>
    <row r="8" spans="2:7" ht="15.75" x14ac:dyDescent="0.25">
      <c r="B8" s="487" t="s">
        <v>951</v>
      </c>
      <c r="C8" s="362" t="s">
        <v>214</v>
      </c>
      <c r="D8" s="362" t="s">
        <v>219</v>
      </c>
      <c r="E8" s="362" t="s">
        <v>220</v>
      </c>
    </row>
    <row r="9" spans="2:7" ht="15.75" x14ac:dyDescent="0.25">
      <c r="B9" s="487" t="s">
        <v>952</v>
      </c>
      <c r="C9" s="362" t="s">
        <v>214</v>
      </c>
      <c r="D9" s="362" t="s">
        <v>224</v>
      </c>
      <c r="E9" s="362" t="s">
        <v>225</v>
      </c>
    </row>
    <row r="10" spans="2:7" ht="15.75" x14ac:dyDescent="0.25">
      <c r="B10" s="487" t="s">
        <v>953</v>
      </c>
      <c r="C10" s="362" t="s">
        <v>214</v>
      </c>
      <c r="D10" s="362" t="s">
        <v>228</v>
      </c>
      <c r="E10" s="362" t="s">
        <v>229</v>
      </c>
    </row>
    <row r="11" spans="2:7" ht="15.75" x14ac:dyDescent="0.25">
      <c r="B11" s="487" t="s">
        <v>954</v>
      </c>
      <c r="C11" s="362" t="s">
        <v>214</v>
      </c>
      <c r="D11" s="362" t="s">
        <v>232</v>
      </c>
      <c r="E11" s="362" t="s">
        <v>233</v>
      </c>
    </row>
    <row r="12" spans="2:7" ht="15.75" x14ac:dyDescent="0.25">
      <c r="B12" s="487" t="s">
        <v>955</v>
      </c>
      <c r="C12" s="362" t="s">
        <v>214</v>
      </c>
      <c r="D12" s="362" t="s">
        <v>236</v>
      </c>
      <c r="E12" s="362" t="s">
        <v>237</v>
      </c>
    </row>
    <row r="13" spans="2:7" ht="15.75" x14ac:dyDescent="0.25">
      <c r="B13" s="487" t="s">
        <v>956</v>
      </c>
      <c r="C13" s="362" t="s">
        <v>214</v>
      </c>
      <c r="D13" s="362" t="s">
        <v>240</v>
      </c>
      <c r="E13" s="362" t="s">
        <v>241</v>
      </c>
    </row>
    <row r="14" spans="2:7" ht="15.75" x14ac:dyDescent="0.25">
      <c r="B14" s="487" t="str">
        <f t="shared" ref="B14:B57" si="0">IF(LEN(I14)&gt;4,RIGHT(D14,3),"000")</f>
        <v>000</v>
      </c>
      <c r="C14" s="362" t="s">
        <v>214</v>
      </c>
      <c r="D14" s="362" t="s">
        <v>244</v>
      </c>
      <c r="E14" s="362"/>
    </row>
    <row r="15" spans="2:7" ht="15.75" x14ac:dyDescent="0.25">
      <c r="B15" s="487" t="str">
        <f t="shared" si="0"/>
        <v>000</v>
      </c>
      <c r="C15" s="362" t="s">
        <v>251</v>
      </c>
      <c r="D15" s="362" t="s">
        <v>244</v>
      </c>
      <c r="E15" s="362"/>
    </row>
    <row r="16" spans="2:7" ht="15.75" x14ac:dyDescent="0.25">
      <c r="B16" s="487" t="s">
        <v>957</v>
      </c>
      <c r="C16" s="362" t="s">
        <v>256</v>
      </c>
      <c r="D16" s="362" t="s">
        <v>257</v>
      </c>
      <c r="E16" s="362" t="s">
        <v>258</v>
      </c>
    </row>
    <row r="17" spans="2:5" ht="15.75" x14ac:dyDescent="0.25">
      <c r="B17" s="487" t="s">
        <v>958</v>
      </c>
      <c r="C17" s="362" t="s">
        <v>256</v>
      </c>
      <c r="D17" s="362" t="s">
        <v>261</v>
      </c>
      <c r="E17" s="362" t="s">
        <v>262</v>
      </c>
    </row>
    <row r="18" spans="2:5" ht="15.75" x14ac:dyDescent="0.25">
      <c r="B18" s="487" t="s">
        <v>959</v>
      </c>
      <c r="C18" s="362" t="s">
        <v>256</v>
      </c>
      <c r="D18" s="362" t="s">
        <v>265</v>
      </c>
      <c r="E18" s="362" t="s">
        <v>266</v>
      </c>
    </row>
    <row r="19" spans="2:5" ht="15.75" x14ac:dyDescent="0.25">
      <c r="B19" s="487" t="s">
        <v>960</v>
      </c>
      <c r="C19" s="362" t="s">
        <v>256</v>
      </c>
      <c r="D19" s="362" t="s">
        <v>269</v>
      </c>
      <c r="E19" s="362" t="s">
        <v>270</v>
      </c>
    </row>
    <row r="20" spans="2:5" ht="15.75" x14ac:dyDescent="0.25">
      <c r="B20" s="487" t="s">
        <v>961</v>
      </c>
      <c r="C20" s="362" t="s">
        <v>256</v>
      </c>
      <c r="D20" s="362" t="s">
        <v>273</v>
      </c>
      <c r="E20" s="362" t="s">
        <v>274</v>
      </c>
    </row>
    <row r="21" spans="2:5" ht="15.75" x14ac:dyDescent="0.25">
      <c r="B21" s="487" t="str">
        <f t="shared" si="0"/>
        <v>000</v>
      </c>
      <c r="C21" s="362" t="s">
        <v>256</v>
      </c>
      <c r="D21" s="362" t="s">
        <v>244</v>
      </c>
      <c r="E21" s="362"/>
    </row>
    <row r="22" spans="2:5" ht="15.75" x14ac:dyDescent="0.25">
      <c r="B22" s="487" t="s">
        <v>962</v>
      </c>
      <c r="C22" s="362" t="s">
        <v>281</v>
      </c>
      <c r="D22" s="362" t="s">
        <v>282</v>
      </c>
      <c r="E22" s="362" t="s">
        <v>283</v>
      </c>
    </row>
    <row r="23" spans="2:5" ht="15.75" x14ac:dyDescent="0.25">
      <c r="B23" s="487" t="s">
        <v>963</v>
      </c>
      <c r="C23" s="362" t="s">
        <v>281</v>
      </c>
      <c r="D23" s="362" t="s">
        <v>286</v>
      </c>
      <c r="E23" s="362" t="s">
        <v>287</v>
      </c>
    </row>
    <row r="24" spans="2:5" ht="15.75" x14ac:dyDescent="0.25">
      <c r="B24" s="487" t="s">
        <v>964</v>
      </c>
      <c r="C24" s="362" t="s">
        <v>281</v>
      </c>
      <c r="D24" s="362" t="s">
        <v>290</v>
      </c>
      <c r="E24" s="362" t="s">
        <v>291</v>
      </c>
    </row>
    <row r="25" spans="2:5" ht="15.75" x14ac:dyDescent="0.25">
      <c r="B25" s="487" t="str">
        <f t="shared" si="0"/>
        <v>000</v>
      </c>
      <c r="C25" s="362" t="s">
        <v>281</v>
      </c>
      <c r="D25" s="362" t="s">
        <v>244</v>
      </c>
      <c r="E25" s="362"/>
    </row>
    <row r="26" spans="2:5" ht="15.75" x14ac:dyDescent="0.25">
      <c r="B26" s="487" t="s">
        <v>965</v>
      </c>
      <c r="C26" s="362" t="s">
        <v>298</v>
      </c>
      <c r="D26" s="363" t="s">
        <v>299</v>
      </c>
      <c r="E26" s="363" t="s">
        <v>300</v>
      </c>
    </row>
    <row r="27" spans="2:5" ht="15.75" x14ac:dyDescent="0.25">
      <c r="B27" s="487" t="s">
        <v>966</v>
      </c>
      <c r="C27" s="362" t="s">
        <v>298</v>
      </c>
      <c r="D27" s="363" t="s">
        <v>303</v>
      </c>
      <c r="E27" s="363" t="s">
        <v>304</v>
      </c>
    </row>
    <row r="28" spans="2:5" ht="15.75" x14ac:dyDescent="0.25">
      <c r="B28" s="487" t="s">
        <v>967</v>
      </c>
      <c r="C28" s="362" t="s">
        <v>298</v>
      </c>
      <c r="D28" s="363" t="s">
        <v>307</v>
      </c>
      <c r="E28" s="363" t="s">
        <v>308</v>
      </c>
    </row>
    <row r="29" spans="2:5" ht="15.75" x14ac:dyDescent="0.25">
      <c r="B29" s="487" t="s">
        <v>968</v>
      </c>
      <c r="C29" s="362" t="s">
        <v>298</v>
      </c>
      <c r="D29" s="363" t="s">
        <v>311</v>
      </c>
      <c r="E29" s="363" t="s">
        <v>312</v>
      </c>
    </row>
    <row r="30" spans="2:5" ht="15.75" x14ac:dyDescent="0.25">
      <c r="B30" s="487" t="s">
        <v>969</v>
      </c>
      <c r="C30" s="362" t="s">
        <v>298</v>
      </c>
      <c r="D30" s="363" t="s">
        <v>315</v>
      </c>
      <c r="E30" s="363" t="s">
        <v>316</v>
      </c>
    </row>
    <row r="31" spans="2:5" ht="15.75" x14ac:dyDescent="0.25">
      <c r="B31" s="487" t="s">
        <v>970</v>
      </c>
      <c r="C31" s="362" t="s">
        <v>298</v>
      </c>
      <c r="D31" s="363" t="s">
        <v>319</v>
      </c>
      <c r="E31" s="363" t="s">
        <v>320</v>
      </c>
    </row>
    <row r="32" spans="2:5" ht="15.75" x14ac:dyDescent="0.25">
      <c r="B32" s="487" t="s">
        <v>971</v>
      </c>
      <c r="C32" s="362" t="s">
        <v>298</v>
      </c>
      <c r="D32" s="363" t="s">
        <v>323</v>
      </c>
      <c r="E32" s="363" t="s">
        <v>324</v>
      </c>
    </row>
    <row r="33" spans="2:5" ht="15.75" x14ac:dyDescent="0.25">
      <c r="B33" s="487" t="s">
        <v>972</v>
      </c>
      <c r="C33" s="362" t="s">
        <v>298</v>
      </c>
      <c r="D33" s="363" t="s">
        <v>327</v>
      </c>
      <c r="E33" s="363" t="s">
        <v>328</v>
      </c>
    </row>
    <row r="34" spans="2:5" ht="15.75" x14ac:dyDescent="0.25">
      <c r="B34" s="487" t="s">
        <v>973</v>
      </c>
      <c r="C34" s="362" t="s">
        <v>298</v>
      </c>
      <c r="D34" s="363" t="s">
        <v>331</v>
      </c>
      <c r="E34" s="363" t="s">
        <v>332</v>
      </c>
    </row>
    <row r="35" spans="2:5" ht="15.75" x14ac:dyDescent="0.25">
      <c r="B35" s="487" t="s">
        <v>974</v>
      </c>
      <c r="C35" s="362" t="s">
        <v>298</v>
      </c>
      <c r="D35" s="363" t="s">
        <v>335</v>
      </c>
      <c r="E35" s="363" t="s">
        <v>336</v>
      </c>
    </row>
    <row r="36" spans="2:5" ht="15.75" x14ac:dyDescent="0.25">
      <c r="B36" s="487" t="s">
        <v>975</v>
      </c>
      <c r="C36" s="362" t="s">
        <v>298</v>
      </c>
      <c r="D36" s="363" t="s">
        <v>339</v>
      </c>
      <c r="E36" s="363" t="s">
        <v>340</v>
      </c>
    </row>
    <row r="37" spans="2:5" ht="15.75" x14ac:dyDescent="0.25">
      <c r="B37" s="487" t="str">
        <f t="shared" si="0"/>
        <v>000</v>
      </c>
      <c r="C37" s="362" t="s">
        <v>298</v>
      </c>
      <c r="D37" s="362" t="s">
        <v>244</v>
      </c>
      <c r="E37" s="362"/>
    </row>
    <row r="38" spans="2:5" ht="15.75" x14ac:dyDescent="0.25">
      <c r="B38" s="487" t="s">
        <v>976</v>
      </c>
      <c r="C38" s="362" t="s">
        <v>347</v>
      </c>
      <c r="D38" s="362" t="s">
        <v>348</v>
      </c>
      <c r="E38" s="362" t="s">
        <v>349</v>
      </c>
    </row>
    <row r="39" spans="2:5" ht="15.75" x14ac:dyDescent="0.25">
      <c r="B39" s="487" t="s">
        <v>977</v>
      </c>
      <c r="C39" s="362" t="s">
        <v>347</v>
      </c>
      <c r="D39" s="362" t="s">
        <v>352</v>
      </c>
      <c r="E39" s="362" t="s">
        <v>353</v>
      </c>
    </row>
    <row r="40" spans="2:5" ht="31.5" x14ac:dyDescent="0.25">
      <c r="B40" s="487" t="s">
        <v>978</v>
      </c>
      <c r="C40" s="362" t="s">
        <v>347</v>
      </c>
      <c r="D40" s="362" t="s">
        <v>356</v>
      </c>
      <c r="E40" s="488" t="s">
        <v>357</v>
      </c>
    </row>
    <row r="41" spans="2:5" ht="15.75" x14ac:dyDescent="0.25">
      <c r="B41" s="487" t="str">
        <f t="shared" si="0"/>
        <v>000</v>
      </c>
      <c r="C41" s="362" t="s">
        <v>347</v>
      </c>
      <c r="D41" s="362" t="s">
        <v>244</v>
      </c>
      <c r="E41" s="362"/>
    </row>
    <row r="42" spans="2:5" ht="15.75" x14ac:dyDescent="0.25">
      <c r="B42" s="487" t="s">
        <v>979</v>
      </c>
      <c r="C42" s="362" t="s">
        <v>364</v>
      </c>
      <c r="D42" s="362" t="s">
        <v>365</v>
      </c>
      <c r="E42" s="362" t="s">
        <v>366</v>
      </c>
    </row>
    <row r="43" spans="2:5" ht="15.75" x14ac:dyDescent="0.25">
      <c r="B43" s="487" t="s">
        <v>980</v>
      </c>
      <c r="C43" s="362" t="s">
        <v>364</v>
      </c>
      <c r="D43" s="362" t="s">
        <v>369</v>
      </c>
      <c r="E43" s="362" t="s">
        <v>370</v>
      </c>
    </row>
    <row r="44" spans="2:5" ht="15.75" x14ac:dyDescent="0.25">
      <c r="B44" s="487" t="s">
        <v>981</v>
      </c>
      <c r="C44" s="362" t="s">
        <v>364</v>
      </c>
      <c r="D44" s="362" t="s">
        <v>373</v>
      </c>
      <c r="E44" s="362" t="s">
        <v>374</v>
      </c>
    </row>
    <row r="45" spans="2:5" ht="15.75" x14ac:dyDescent="0.25">
      <c r="B45" s="487" t="s">
        <v>982</v>
      </c>
      <c r="C45" s="362" t="s">
        <v>364</v>
      </c>
      <c r="D45" s="362" t="s">
        <v>377</v>
      </c>
      <c r="E45" s="362" t="s">
        <v>378</v>
      </c>
    </row>
    <row r="46" spans="2:5" ht="15.75" x14ac:dyDescent="0.25">
      <c r="B46" s="487" t="str">
        <f t="shared" si="0"/>
        <v>000</v>
      </c>
      <c r="C46" s="362" t="s">
        <v>364</v>
      </c>
      <c r="D46" s="362" t="s">
        <v>244</v>
      </c>
      <c r="E46" s="362"/>
    </row>
    <row r="47" spans="2:5" ht="15.75" x14ac:dyDescent="0.25">
      <c r="B47" s="487" t="s">
        <v>983</v>
      </c>
      <c r="C47" s="362" t="s">
        <v>385</v>
      </c>
      <c r="D47" s="362" t="s">
        <v>386</v>
      </c>
      <c r="E47" s="362" t="s">
        <v>387</v>
      </c>
    </row>
    <row r="48" spans="2:5" ht="15.75" x14ac:dyDescent="0.25">
      <c r="B48" s="487" t="s">
        <v>984</v>
      </c>
      <c r="C48" s="362" t="s">
        <v>385</v>
      </c>
      <c r="D48" s="362" t="s">
        <v>390</v>
      </c>
      <c r="E48" s="362" t="s">
        <v>391</v>
      </c>
    </row>
    <row r="49" spans="2:5" ht="15.75" x14ac:dyDescent="0.25">
      <c r="B49" s="487" t="str">
        <f t="shared" si="0"/>
        <v>000</v>
      </c>
      <c r="C49" s="362" t="s">
        <v>385</v>
      </c>
      <c r="D49" s="362" t="s">
        <v>244</v>
      </c>
      <c r="E49" s="362"/>
    </row>
    <row r="50" spans="2:5" ht="15.75" x14ac:dyDescent="0.25">
      <c r="B50" s="487" t="s">
        <v>985</v>
      </c>
      <c r="C50" s="364" t="s">
        <v>398</v>
      </c>
      <c r="D50" s="364" t="s">
        <v>399</v>
      </c>
      <c r="E50" s="364" t="s">
        <v>992</v>
      </c>
    </row>
    <row r="51" spans="2:5" ht="15.75" x14ac:dyDescent="0.25">
      <c r="B51" s="487" t="s">
        <v>986</v>
      </c>
      <c r="C51" s="362" t="s">
        <v>398</v>
      </c>
      <c r="D51" s="362" t="s">
        <v>402</v>
      </c>
      <c r="E51" s="364" t="s">
        <v>899</v>
      </c>
    </row>
    <row r="52" spans="2:5" ht="15.75" x14ac:dyDescent="0.25">
      <c r="B52" s="487" t="s">
        <v>987</v>
      </c>
      <c r="C52" s="362" t="s">
        <v>398</v>
      </c>
      <c r="D52" s="362" t="s">
        <v>405</v>
      </c>
      <c r="E52" s="362" t="s">
        <v>900</v>
      </c>
    </row>
    <row r="53" spans="2:5" ht="15.75" x14ac:dyDescent="0.25">
      <c r="B53" s="487" t="s">
        <v>988</v>
      </c>
      <c r="C53" s="362" t="s">
        <v>398</v>
      </c>
      <c r="D53" s="362" t="s">
        <v>408</v>
      </c>
      <c r="E53" s="362" t="s">
        <v>901</v>
      </c>
    </row>
    <row r="54" spans="2:5" ht="15.75" x14ac:dyDescent="0.25">
      <c r="B54" s="487" t="s">
        <v>989</v>
      </c>
      <c r="C54" s="364" t="s">
        <v>398</v>
      </c>
      <c r="D54" s="364" t="s">
        <v>38</v>
      </c>
      <c r="E54" s="362" t="s">
        <v>993</v>
      </c>
    </row>
    <row r="55" spans="2:5" ht="15.75" x14ac:dyDescent="0.25">
      <c r="B55" s="487" t="s">
        <v>990</v>
      </c>
      <c r="C55" s="362" t="s">
        <v>398</v>
      </c>
      <c r="D55" s="362" t="s">
        <v>413</v>
      </c>
      <c r="E55" s="362" t="s">
        <v>903</v>
      </c>
    </row>
    <row r="56" spans="2:5" ht="15.75" x14ac:dyDescent="0.25">
      <c r="B56" s="487" t="s">
        <v>991</v>
      </c>
      <c r="C56" s="362" t="s">
        <v>398</v>
      </c>
      <c r="D56" s="362" t="s">
        <v>416</v>
      </c>
      <c r="E56" s="362" t="s">
        <v>908</v>
      </c>
    </row>
    <row r="57" spans="2:5" ht="15.75" x14ac:dyDescent="0.25">
      <c r="B57" s="487" t="str">
        <f t="shared" si="0"/>
        <v>000</v>
      </c>
      <c r="C57" s="362" t="s">
        <v>398</v>
      </c>
      <c r="D57" s="362" t="s">
        <v>244</v>
      </c>
      <c r="E57" s="362"/>
    </row>
    <row r="58" spans="2:5" ht="15" customHeight="1" x14ac:dyDescent="0.25">
      <c r="B58" s="499" t="str">
        <f t="shared" ref="B58:B59" si="1">LEFT(D58,3)</f>
        <v>M07</v>
      </c>
      <c r="C58" s="500" t="s">
        <v>423</v>
      </c>
      <c r="D58" s="500" t="s">
        <v>424</v>
      </c>
      <c r="E58" s="498" t="s">
        <v>994</v>
      </c>
    </row>
    <row r="59" spans="2:5" ht="31.5" x14ac:dyDescent="0.25">
      <c r="B59" s="499" t="str">
        <f t="shared" si="1"/>
        <v>M07</v>
      </c>
      <c r="C59" s="500" t="s">
        <v>423</v>
      </c>
      <c r="D59" s="500" t="s">
        <v>427</v>
      </c>
      <c r="E59" s="498" t="s">
        <v>995</v>
      </c>
    </row>
    <row r="60" spans="2:5" ht="15.75" x14ac:dyDescent="0.25">
      <c r="B60" s="487" t="str">
        <f>IF(LEN(I60)&gt;4,RIGHT(D60,3),"000")</f>
        <v>000</v>
      </c>
      <c r="C60" s="362" t="s">
        <v>423</v>
      </c>
      <c r="D60" s="362" t="s">
        <v>244</v>
      </c>
      <c r="E60" s="362"/>
    </row>
    <row r="61" spans="2:5" ht="15.75" x14ac:dyDescent="0.25">
      <c r="B61" s="487" t="str">
        <f t="shared" ref="B61" si="2">IF(LEN(I61)&gt;4,RIGHT(D61,3),"000")</f>
        <v>000</v>
      </c>
      <c r="C61" s="362" t="s">
        <v>40</v>
      </c>
      <c r="D61" s="362" t="s">
        <v>244</v>
      </c>
      <c r="E61" s="362"/>
    </row>
  </sheetData>
  <mergeCells count="1">
    <mergeCell ref="C4:E4"/>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91"/>
  <sheetViews>
    <sheetView zoomScaleSheetLayoutView="100" workbookViewId="0">
      <selection activeCell="B11" sqref="B11"/>
    </sheetView>
  </sheetViews>
  <sheetFormatPr defaultColWidth="9" defaultRowHeight="15" x14ac:dyDescent="0.25"/>
  <cols>
    <col min="1" max="1" width="4.140625" customWidth="1"/>
    <col min="2" max="2" width="11.5703125" style="18" customWidth="1"/>
    <col min="3" max="3" width="19" style="18" customWidth="1"/>
    <col min="4" max="4" width="20" style="18" customWidth="1"/>
    <col min="5" max="8" width="11.5703125" style="18" customWidth="1"/>
    <col min="9" max="9" width="6.7109375" style="18" customWidth="1"/>
    <col min="10" max="10" width="8.85546875" style="18" customWidth="1"/>
    <col min="11" max="11" width="6.7109375" style="18" customWidth="1"/>
    <col min="12" max="18" width="12.5703125" style="18" customWidth="1"/>
    <col min="19" max="19" width="14.5703125" style="18" customWidth="1"/>
    <col min="20" max="21" width="12.5703125" style="18" customWidth="1"/>
    <col min="22" max="26" width="12.5703125" customWidth="1"/>
    <col min="28" max="28" width="10.5703125" customWidth="1"/>
    <col min="29" max="29" width="15.28515625" customWidth="1"/>
  </cols>
  <sheetData>
    <row r="1" spans="2:35" ht="15.75" x14ac:dyDescent="0.25">
      <c r="R1" s="612" t="s">
        <v>947</v>
      </c>
      <c r="S1" s="612"/>
      <c r="T1" s="612"/>
    </row>
    <row r="2" spans="2:35" ht="15.75" x14ac:dyDescent="0.25">
      <c r="R2" s="612" t="s">
        <v>948</v>
      </c>
      <c r="S2" s="612"/>
      <c r="T2" s="612"/>
    </row>
    <row r="3" spans="2:35" ht="15.75" x14ac:dyDescent="0.25">
      <c r="R3" s="612" t="s">
        <v>949</v>
      </c>
      <c r="S3" s="612"/>
      <c r="T3" s="612"/>
    </row>
    <row r="4" spans="2:35" ht="15.75" x14ac:dyDescent="0.25">
      <c r="R4" s="612"/>
      <c r="S4" s="612"/>
      <c r="T4" s="612"/>
    </row>
    <row r="5" spans="2:35" ht="15.75" x14ac:dyDescent="0.25">
      <c r="B5" s="501" t="s">
        <v>1009</v>
      </c>
    </row>
    <row r="6" spans="2:35" ht="18.75" customHeight="1" x14ac:dyDescent="0.25">
      <c r="B6" s="614" t="s">
        <v>613</v>
      </c>
      <c r="C6" s="615"/>
      <c r="D6" s="615"/>
      <c r="E6" s="615"/>
      <c r="F6" s="615"/>
      <c r="G6" s="615"/>
      <c r="H6" s="615"/>
      <c r="I6" s="615"/>
      <c r="J6" s="615"/>
      <c r="K6" s="616"/>
      <c r="L6" s="614" t="s">
        <v>614</v>
      </c>
      <c r="M6" s="615"/>
      <c r="N6" s="615"/>
      <c r="O6" s="615"/>
      <c r="P6" s="615"/>
      <c r="Q6" s="616"/>
      <c r="R6" s="614" t="s">
        <v>615</v>
      </c>
      <c r="S6" s="615"/>
      <c r="T6" s="615"/>
      <c r="U6" s="616"/>
    </row>
    <row r="7" spans="2:35" ht="72" customHeight="1" x14ac:dyDescent="0.25">
      <c r="B7" s="502" t="s">
        <v>16</v>
      </c>
      <c r="C7" s="502" t="s">
        <v>946</v>
      </c>
      <c r="D7" s="502" t="s">
        <v>101</v>
      </c>
      <c r="E7" s="502" t="s">
        <v>103</v>
      </c>
      <c r="F7" s="502" t="s">
        <v>105</v>
      </c>
      <c r="G7" s="502" t="s">
        <v>106</v>
      </c>
      <c r="H7" s="502" t="s">
        <v>108</v>
      </c>
      <c r="I7" s="502" t="s">
        <v>109</v>
      </c>
      <c r="J7" s="502" t="s">
        <v>616</v>
      </c>
      <c r="K7" s="502" t="s">
        <v>112</v>
      </c>
      <c r="L7" s="503" t="s">
        <v>114</v>
      </c>
      <c r="M7" s="503" t="s">
        <v>115</v>
      </c>
      <c r="N7" s="503" t="s">
        <v>117</v>
      </c>
      <c r="O7" s="503" t="s">
        <v>118</v>
      </c>
      <c r="P7" s="503" t="str">
        <f>"Kitos viešosios lėšos"&amp;" ("&amp;'1_punktas'!E84&amp;")"</f>
        <v>Kitos viešosios lėšos ()</v>
      </c>
      <c r="Q7" s="503" t="s">
        <v>119</v>
      </c>
      <c r="R7" s="503" t="str">
        <f>'1_punktas'!C89</f>
        <v>Įtraukimas į sąrašą</v>
      </c>
      <c r="S7" s="503" t="str">
        <f>'1_punktas'!C90</f>
        <v>Paraiškos pateikimas įgyvendinančiajai institucijai</v>
      </c>
      <c r="T7" s="503" t="str">
        <f>'1_punktas'!C91</f>
        <v>Finansavimo sutarties sudarymas</v>
      </c>
      <c r="U7" s="503" t="str">
        <f>'1_punktas'!C92</f>
        <v>Projekto užbaigimas</v>
      </c>
    </row>
    <row r="8" spans="2:35" x14ac:dyDescent="0.25">
      <c r="B8" s="502" t="s">
        <v>617</v>
      </c>
      <c r="C8" s="502"/>
      <c r="D8" s="502" t="s">
        <v>618</v>
      </c>
      <c r="E8" s="502" t="s">
        <v>619</v>
      </c>
      <c r="F8" s="502" t="s">
        <v>619</v>
      </c>
      <c r="G8" s="502" t="s">
        <v>619</v>
      </c>
      <c r="H8" s="502" t="s">
        <v>619</v>
      </c>
      <c r="I8" s="502" t="s">
        <v>619</v>
      </c>
      <c r="J8" s="502" t="s">
        <v>619</v>
      </c>
      <c r="K8" s="502" t="s">
        <v>619</v>
      </c>
      <c r="L8" s="503" t="s">
        <v>619</v>
      </c>
      <c r="M8" s="503" t="s">
        <v>619</v>
      </c>
      <c r="N8" s="503" t="s">
        <v>619</v>
      </c>
      <c r="O8" s="503" t="s">
        <v>619</v>
      </c>
      <c r="P8" s="503" t="s">
        <v>619</v>
      </c>
      <c r="Q8" s="503" t="s">
        <v>619</v>
      </c>
      <c r="R8" s="503" t="s">
        <v>619</v>
      </c>
      <c r="S8" s="503" t="s">
        <v>619</v>
      </c>
      <c r="T8" s="503" t="s">
        <v>619</v>
      </c>
      <c r="U8" s="503"/>
    </row>
    <row r="9" spans="2:35" x14ac:dyDescent="0.25">
      <c r="B9" s="502" t="s">
        <v>620</v>
      </c>
      <c r="C9" s="502"/>
      <c r="D9" s="502" t="s">
        <v>621</v>
      </c>
      <c r="E9" s="502" t="s">
        <v>619</v>
      </c>
      <c r="F9" s="502" t="s">
        <v>619</v>
      </c>
      <c r="G9" s="502" t="s">
        <v>619</v>
      </c>
      <c r="H9" s="502" t="s">
        <v>619</v>
      </c>
      <c r="I9" s="502" t="s">
        <v>619</v>
      </c>
      <c r="J9" s="502" t="s">
        <v>619</v>
      </c>
      <c r="K9" s="502" t="s">
        <v>619</v>
      </c>
      <c r="L9" s="503" t="s">
        <v>619</v>
      </c>
      <c r="M9" s="503" t="s">
        <v>619</v>
      </c>
      <c r="N9" s="503" t="s">
        <v>619</v>
      </c>
      <c r="O9" s="503" t="s">
        <v>619</v>
      </c>
      <c r="P9" s="503" t="s">
        <v>619</v>
      </c>
      <c r="Q9" s="503" t="s">
        <v>619</v>
      </c>
      <c r="R9" s="503" t="s">
        <v>619</v>
      </c>
      <c r="S9" s="503" t="s">
        <v>619</v>
      </c>
      <c r="T9" s="503" t="s">
        <v>619</v>
      </c>
      <c r="U9" s="503"/>
    </row>
    <row r="10" spans="2:35" ht="60.95" customHeight="1" x14ac:dyDescent="0.25">
      <c r="B10" s="502" t="str">
        <f>IF(ISBLANK('1_punktas'!D32),'6-7 lentelės'!B9&amp;"X",'1_punktas'!D32)</f>
        <v>1.2.(...)X</v>
      </c>
      <c r="C10" s="502">
        <f>'1_punktas'!D17</f>
        <v>0</v>
      </c>
      <c r="D10" s="502" t="str">
        <f>'1_punktas'!D58</f>
        <v>Vilniaus lokomotyvų remonto depo gamybinės veiklos modernizavimas</v>
      </c>
      <c r="E10" s="502" t="str">
        <f>'1_punktas'!D64</f>
        <v>UAB Vilniaus lokomotyvų remonto depas, įmonės kodas 126280418</v>
      </c>
      <c r="F10" s="502">
        <f>'1_punktas'!D65</f>
        <v>0</v>
      </c>
      <c r="G10" s="502" t="str">
        <f>'1_punktas'!D66</f>
        <v>Vilniaus m. sav.</v>
      </c>
      <c r="H10" s="502">
        <f>'1_punktas'!D67</f>
        <v>0</v>
      </c>
      <c r="I10" s="502" t="str">
        <f>'1_punktas'!D68</f>
        <v>–</v>
      </c>
      <c r="J10" s="502" t="str">
        <f>'1_punktas'!D69</f>
        <v>RSP</v>
      </c>
      <c r="K10" s="502">
        <f>'1_punktas'!D70</f>
        <v>0</v>
      </c>
      <c r="L10" s="504">
        <f>'1_punktas'!D80</f>
        <v>71163500</v>
      </c>
      <c r="M10" s="504">
        <f>'1_punktas'!D81</f>
        <v>0</v>
      </c>
      <c r="N10" s="504">
        <f>'1_punktas'!D82</f>
        <v>0</v>
      </c>
      <c r="O10" s="504">
        <f>'1_punktas'!D83</f>
        <v>71163500</v>
      </c>
      <c r="P10" s="504">
        <f>'1_punktas'!D84</f>
        <v>0</v>
      </c>
      <c r="Q10" s="504">
        <f>'1_punktas'!D85</f>
        <v>0</v>
      </c>
      <c r="R10" s="503" t="str">
        <f>'1_punktas'!D89</f>
        <v/>
      </c>
      <c r="S10" s="503" t="str">
        <f>'1_punktas'!D90</f>
        <v/>
      </c>
      <c r="T10" s="503" t="str">
        <f>'1_punktas'!D91</f>
        <v/>
      </c>
      <c r="U10" s="503" t="str">
        <f>'1_punktas'!D92</f>
        <v/>
      </c>
      <c r="AD10" s="132"/>
      <c r="AE10" s="132"/>
      <c r="AF10" s="132"/>
      <c r="AG10" s="132"/>
      <c r="AH10" s="132"/>
      <c r="AI10" s="132"/>
    </row>
    <row r="11" spans="2:35" ht="29.25" customHeight="1" x14ac:dyDescent="0.25">
      <c r="B11" s="489"/>
      <c r="C11" s="489"/>
      <c r="D11" s="489"/>
      <c r="E11" s="489"/>
      <c r="F11" s="489"/>
      <c r="G11" s="489"/>
      <c r="H11" s="489"/>
      <c r="I11" s="489"/>
      <c r="J11" s="489"/>
      <c r="K11" s="489"/>
      <c r="L11" s="489"/>
      <c r="M11" s="489"/>
      <c r="N11" s="489"/>
      <c r="O11" s="489"/>
      <c r="P11" s="489"/>
      <c r="Q11" s="489"/>
      <c r="R11" s="489"/>
      <c r="S11" s="489"/>
      <c r="T11" s="489"/>
      <c r="U11" s="489"/>
      <c r="AD11" s="132"/>
      <c r="AE11" s="132"/>
      <c r="AF11" s="132"/>
      <c r="AG11" s="132"/>
      <c r="AH11" s="132"/>
      <c r="AI11" s="132"/>
    </row>
    <row r="12" spans="2:35" ht="15.75" x14ac:dyDescent="0.25">
      <c r="B12" s="501" t="s">
        <v>1010</v>
      </c>
      <c r="C12" s="19"/>
      <c r="D12" s="19"/>
      <c r="E12" s="19"/>
      <c r="F12" s="19"/>
      <c r="G12" s="19"/>
      <c r="H12" s="19"/>
      <c r="I12" s="19"/>
      <c r="J12" s="19"/>
      <c r="K12" s="19"/>
      <c r="L12" s="21"/>
      <c r="M12" s="21"/>
      <c r="N12" s="21"/>
      <c r="O12" s="21"/>
      <c r="P12" s="21"/>
      <c r="Q12" s="21"/>
      <c r="R12" s="19"/>
      <c r="S12" s="19"/>
      <c r="T12" s="19"/>
      <c r="U12" s="19"/>
      <c r="AD12" s="132"/>
      <c r="AE12" s="132"/>
      <c r="AF12" s="132"/>
      <c r="AG12" s="132"/>
      <c r="AH12" s="132"/>
      <c r="AI12" s="132"/>
    </row>
    <row r="13" spans="2:35" x14ac:dyDescent="0.25">
      <c r="B13" s="614" t="s">
        <v>613</v>
      </c>
      <c r="C13" s="615"/>
      <c r="D13" s="615"/>
      <c r="E13" s="615"/>
      <c r="F13" s="615"/>
      <c r="G13" s="615"/>
      <c r="H13" s="615"/>
      <c r="I13" s="615"/>
      <c r="J13" s="615"/>
      <c r="K13" s="616"/>
      <c r="L13" s="617" t="s">
        <v>622</v>
      </c>
      <c r="M13" s="618"/>
      <c r="N13" s="618"/>
      <c r="O13" s="618"/>
      <c r="P13" s="618"/>
      <c r="Q13" s="618"/>
      <c r="R13" s="618"/>
      <c r="S13" s="618"/>
      <c r="T13" s="618"/>
      <c r="U13" s="618"/>
      <c r="V13" s="618"/>
      <c r="W13" s="618"/>
      <c r="X13" s="618"/>
      <c r="Y13" s="618"/>
      <c r="Z13" s="618"/>
      <c r="AA13" s="618"/>
      <c r="AB13" s="618"/>
      <c r="AC13" s="619"/>
      <c r="AD13" s="356"/>
      <c r="AE13" s="356"/>
      <c r="AF13" s="356"/>
      <c r="AG13" s="356"/>
      <c r="AH13" s="356"/>
      <c r="AI13" s="356"/>
    </row>
    <row r="14" spans="2:35" ht="67.5" x14ac:dyDescent="0.25">
      <c r="B14" s="502" t="str">
        <f>B7</f>
        <v>Nr.</v>
      </c>
      <c r="C14" s="502" t="str">
        <f t="shared" ref="C14:K14" si="0">C7</f>
        <v>Unikalus numeris</v>
      </c>
      <c r="D14" s="502" t="str">
        <f t="shared" si="0"/>
        <v>Projektas</v>
      </c>
      <c r="E14" s="502" t="str">
        <f t="shared" si="0"/>
        <v>Pareiškėjas</v>
      </c>
      <c r="F14" s="502" t="str">
        <f t="shared" si="0"/>
        <v>Ministerija</v>
      </c>
      <c r="G14" s="502" t="str">
        <f t="shared" si="0"/>
        <v>Įgyvendinimo teritorija</v>
      </c>
      <c r="H14" s="502" t="str">
        <f t="shared" si="0"/>
        <v>VP priemonė arba KPP priemonė (Nr.)</v>
      </c>
      <c r="I14" s="502" t="str">
        <f t="shared" si="0"/>
        <v>R/V/–</v>
      </c>
      <c r="J14" s="502" t="str">
        <f t="shared" si="0"/>
        <v>ITI, RSP, –</v>
      </c>
      <c r="K14" s="502" t="str">
        <f t="shared" si="0"/>
        <v>rez.</v>
      </c>
      <c r="L14" s="505" t="s">
        <v>58</v>
      </c>
      <c r="M14" s="505" t="s">
        <v>59</v>
      </c>
      <c r="N14" s="505" t="s">
        <v>60</v>
      </c>
      <c r="O14" s="505" t="s">
        <v>61</v>
      </c>
      <c r="P14" s="505" t="s">
        <v>62</v>
      </c>
      <c r="Q14" s="505" t="s">
        <v>63</v>
      </c>
      <c r="R14" s="505" t="s">
        <v>64</v>
      </c>
      <c r="S14" s="505" t="s">
        <v>65</v>
      </c>
      <c r="T14" s="505" t="s">
        <v>66</v>
      </c>
      <c r="U14" s="505" t="s">
        <v>67</v>
      </c>
      <c r="V14" s="505" t="s">
        <v>68</v>
      </c>
      <c r="W14" s="505" t="s">
        <v>69</v>
      </c>
      <c r="X14" s="505" t="s">
        <v>70</v>
      </c>
      <c r="Y14" s="505" t="s">
        <v>71</v>
      </c>
      <c r="Z14" s="506" t="s">
        <v>72</v>
      </c>
      <c r="AA14" s="505" t="s">
        <v>73</v>
      </c>
      <c r="AB14" s="505" t="s">
        <v>74</v>
      </c>
      <c r="AC14" s="505" t="s">
        <v>75</v>
      </c>
      <c r="AD14" s="357"/>
      <c r="AE14" s="357"/>
      <c r="AF14" s="357"/>
      <c r="AG14" s="357"/>
      <c r="AH14" s="357"/>
      <c r="AI14" s="357"/>
    </row>
    <row r="15" spans="2:35" ht="13.5" customHeight="1" x14ac:dyDescent="0.25">
      <c r="B15" s="502" t="str">
        <f t="shared" ref="B15:K15" si="1">B8</f>
        <v>1.6.1.</v>
      </c>
      <c r="C15" s="502">
        <f t="shared" si="1"/>
        <v>0</v>
      </c>
      <c r="D15" s="502" t="str">
        <f t="shared" si="1"/>
        <v xml:space="preserve">Uždavinys: </v>
      </c>
      <c r="E15" s="502" t="str">
        <f t="shared" si="1"/>
        <v>-</v>
      </c>
      <c r="F15" s="502" t="str">
        <f t="shared" si="1"/>
        <v>-</v>
      </c>
      <c r="G15" s="502" t="str">
        <f t="shared" si="1"/>
        <v>-</v>
      </c>
      <c r="H15" s="502" t="str">
        <f t="shared" si="1"/>
        <v>-</v>
      </c>
      <c r="I15" s="502" t="str">
        <f t="shared" si="1"/>
        <v>-</v>
      </c>
      <c r="J15" s="502" t="str">
        <f t="shared" si="1"/>
        <v>-</v>
      </c>
      <c r="K15" s="502" t="str">
        <f t="shared" si="1"/>
        <v>-</v>
      </c>
      <c r="L15" s="505"/>
      <c r="M15" s="505"/>
      <c r="N15" s="505"/>
      <c r="O15" s="505"/>
      <c r="P15" s="505"/>
      <c r="Q15" s="505"/>
      <c r="R15" s="505"/>
      <c r="S15" s="505"/>
      <c r="T15" s="505"/>
      <c r="U15" s="505"/>
      <c r="V15" s="507"/>
      <c r="W15" s="508"/>
      <c r="X15" s="505"/>
      <c r="Y15" s="507"/>
      <c r="Z15" s="509"/>
      <c r="AA15" s="505"/>
      <c r="AB15" s="507"/>
      <c r="AC15" s="508"/>
      <c r="AD15" s="357"/>
      <c r="AE15" s="358"/>
      <c r="AF15" s="359"/>
      <c r="AG15" s="357"/>
      <c r="AH15" s="358"/>
      <c r="AI15" s="359"/>
    </row>
    <row r="16" spans="2:35" ht="21" customHeight="1" x14ac:dyDescent="0.25">
      <c r="B16" s="502" t="str">
        <f t="shared" ref="B16:K16" si="2">B9</f>
        <v>1.2.(...)</v>
      </c>
      <c r="C16" s="502">
        <f t="shared" si="2"/>
        <v>0</v>
      </c>
      <c r="D16" s="502" t="str">
        <f t="shared" si="2"/>
        <v xml:space="preserve">Priemonė: </v>
      </c>
      <c r="E16" s="502" t="str">
        <f t="shared" si="2"/>
        <v>-</v>
      </c>
      <c r="F16" s="502" t="str">
        <f t="shared" si="2"/>
        <v>-</v>
      </c>
      <c r="G16" s="502" t="str">
        <f t="shared" si="2"/>
        <v>-</v>
      </c>
      <c r="H16" s="502" t="str">
        <f t="shared" si="2"/>
        <v>-</v>
      </c>
      <c r="I16" s="502" t="str">
        <f t="shared" si="2"/>
        <v>-</v>
      </c>
      <c r="J16" s="502" t="str">
        <f t="shared" si="2"/>
        <v>-</v>
      </c>
      <c r="K16" s="502" t="str">
        <f t="shared" si="2"/>
        <v>-</v>
      </c>
      <c r="L16" s="505"/>
      <c r="M16" s="505"/>
      <c r="N16" s="505"/>
      <c r="O16" s="505"/>
      <c r="P16" s="505"/>
      <c r="Q16" s="505"/>
      <c r="R16" s="505"/>
      <c r="S16" s="505"/>
      <c r="T16" s="505"/>
      <c r="U16" s="505"/>
      <c r="V16" s="507"/>
      <c r="W16" s="508"/>
      <c r="X16" s="505"/>
      <c r="Y16" s="507"/>
      <c r="Z16" s="509"/>
      <c r="AA16" s="505"/>
      <c r="AB16" s="507"/>
      <c r="AC16" s="508"/>
      <c r="AD16" s="357"/>
      <c r="AE16" s="358"/>
      <c r="AF16" s="359"/>
      <c r="AG16" s="357"/>
      <c r="AH16" s="358"/>
      <c r="AI16" s="359"/>
    </row>
    <row r="17" spans="1:35" s="2" customFormat="1" ht="69.75" customHeight="1" x14ac:dyDescent="0.25">
      <c r="A17" s="90"/>
      <c r="B17" s="502" t="str">
        <f t="shared" ref="B17:K17" si="3">B10</f>
        <v>1.2.(...)X</v>
      </c>
      <c r="C17" s="502">
        <f t="shared" si="3"/>
        <v>0</v>
      </c>
      <c r="D17" s="502" t="str">
        <f t="shared" si="3"/>
        <v>Vilniaus lokomotyvų remonto depo gamybinės veiklos modernizavimas</v>
      </c>
      <c r="E17" s="502" t="str">
        <f t="shared" si="3"/>
        <v>UAB Vilniaus lokomotyvų remonto depas, įmonės kodas 126280418</v>
      </c>
      <c r="F17" s="502">
        <f t="shared" si="3"/>
        <v>0</v>
      </c>
      <c r="G17" s="502" t="str">
        <f t="shared" si="3"/>
        <v>Vilniaus m. sav.</v>
      </c>
      <c r="H17" s="502">
        <f t="shared" si="3"/>
        <v>0</v>
      </c>
      <c r="I17" s="502" t="str">
        <f t="shared" si="3"/>
        <v>–</v>
      </c>
      <c r="J17" s="502" t="str">
        <f t="shared" si="3"/>
        <v>RSP</v>
      </c>
      <c r="K17" s="502">
        <f t="shared" si="3"/>
        <v>0</v>
      </c>
      <c r="L17" s="505" t="str">
        <f>IF(N27,INDEX('1_punktas'!$C$115:$D$132,L28-2,2),"")</f>
        <v/>
      </c>
      <c r="M17" s="505" t="str">
        <f>IF(N27,INDEX('1_punktas'!$C$115:$D$132,L28-1,2),"")</f>
        <v/>
      </c>
      <c r="N17" s="505" t="str">
        <f>IF(N27,INDEX('1_punktas'!$C$115:$D$132,L28,2),"")</f>
        <v/>
      </c>
      <c r="O17" s="505" t="str">
        <f>IF(Q27,INDEX('1_punktas'!$C$115:$D$132,M28-2,2),"")</f>
        <v/>
      </c>
      <c r="P17" s="505" t="str">
        <f>IF(Q27,INDEX('1_punktas'!$C$115:$D$132,M28-1,2),"")</f>
        <v/>
      </c>
      <c r="Q17" s="505" t="str">
        <f>IF(Q27,INDEX('1_punktas'!$C$115:$D$132,M28,2),"")</f>
        <v/>
      </c>
      <c r="R17" s="505" t="str">
        <f>IF(T27,INDEX('1_punktas'!$C$115:$D$132,N28-2,2),"")</f>
        <v/>
      </c>
      <c r="S17" s="505" t="str">
        <f>IF(T27,INDEX('1_punktas'!$C$115:$D$132,N28-1,2),"")</f>
        <v/>
      </c>
      <c r="T17" s="505" t="str">
        <f>IF(T27,INDEX('1_punktas'!$C$115:$D$132,N28,2),"")</f>
        <v/>
      </c>
      <c r="U17" s="505" t="str">
        <f>IF(W27,INDEX('1_punktas'!$C$115:$D$132,O28-2,2),"")</f>
        <v/>
      </c>
      <c r="V17" s="505" t="str">
        <f>IF(W27,INDEX('1_punktas'!$C$115:$D$132,O28-1,2),"")</f>
        <v/>
      </c>
      <c r="W17" s="505" t="str">
        <f>IF(W27,INDEX('1_punktas'!$C$115:$D$132,O28,2),"")</f>
        <v/>
      </c>
      <c r="X17" s="505" t="str">
        <f>IF(Z27,INDEX('1_punktas'!$C$115:$D$132,P28-2,2),"")</f>
        <v/>
      </c>
      <c r="Y17" s="505" t="str">
        <f>IF(AA27,INDEX('1_punktas'!$C$115:$D$132,P28-1,2),"")</f>
        <v/>
      </c>
      <c r="Z17" s="506" t="str">
        <f>IF(AA27,INDEX('1_punktas'!$C$115:$D$132,P28,2),"")</f>
        <v/>
      </c>
      <c r="AA17" s="505" t="str">
        <f>IF(AC27,INDEX('1_punktas'!$C$115:$D$132,Q28-2,2),"")</f>
        <v/>
      </c>
      <c r="AB17" s="505" t="str">
        <f>IF(AD27,INDEX('1_punktas'!$C$115:$D$132,Q28-1,2),"")</f>
        <v/>
      </c>
      <c r="AC17" s="505" t="str">
        <f>IF(AD27,INDEX('1_punktas'!$C$115:$D$132,Q28,2),"")</f>
        <v/>
      </c>
      <c r="AD17" s="357"/>
      <c r="AE17" s="357"/>
      <c r="AF17" s="357"/>
      <c r="AG17" s="357"/>
      <c r="AH17" s="357"/>
      <c r="AI17" s="357"/>
    </row>
    <row r="18" spans="1:35" hidden="1" x14ac:dyDescent="0.25">
      <c r="V18" s="23"/>
      <c r="AD18" s="132"/>
      <c r="AE18" s="132"/>
      <c r="AF18" s="132"/>
      <c r="AG18" s="132"/>
      <c r="AH18" s="132"/>
      <c r="AI18" s="132"/>
    </row>
    <row r="19" spans="1:35" hidden="1" x14ac:dyDescent="0.25"/>
    <row r="20" spans="1:35" hidden="1" x14ac:dyDescent="0.25">
      <c r="N20" s="18" t="b">
        <f>IF('1_punktas'!D117&lt;&gt;0,TRUE,FALSE)</f>
        <v>0</v>
      </c>
      <c r="Q20" s="18" t="b">
        <f>IF('1_punktas'!D120&lt;&gt;0,TRUE,FALSE)</f>
        <v>0</v>
      </c>
      <c r="T20" s="18" t="b">
        <f>IF('1_punktas'!D123&lt;&gt;0,TRUE,FALSE)</f>
        <v>0</v>
      </c>
      <c r="W20" t="b">
        <f>IF('1_punktas'!D126&lt;&gt;0,TRUE,FALSE)</f>
        <v>0</v>
      </c>
      <c r="Z20" t="b">
        <f>IF('1_punktas'!D129&lt;&gt;0,TRUE,FALSE)</f>
        <v>0</v>
      </c>
      <c r="AC20" t="b">
        <f>IF('1_punktas'!D132&lt;&gt;0,TRUE,FALSE)</f>
        <v>0</v>
      </c>
    </row>
    <row r="21" spans="1:35" hidden="1" x14ac:dyDescent="0.25">
      <c r="N21" s="18">
        <f>IF(N20,1,0)</f>
        <v>0</v>
      </c>
      <c r="Q21" s="18">
        <f>IF(Q20,1,0)</f>
        <v>0</v>
      </c>
      <c r="T21" s="18">
        <f>IF(T20,1,0)</f>
        <v>0</v>
      </c>
      <c r="V21" s="18"/>
      <c r="W21" s="18">
        <f>IF(W20,1,0)</f>
        <v>0</v>
      </c>
      <c r="X21" s="18"/>
      <c r="Y21" s="18"/>
      <c r="Z21" s="18">
        <f>IF(Z20,1,0)</f>
        <v>0</v>
      </c>
      <c r="AA21" s="18"/>
      <c r="AB21" s="18"/>
      <c r="AC21" s="18">
        <f>IF(AC20,1,0)</f>
        <v>0</v>
      </c>
      <c r="AD21" s="18"/>
      <c r="AE21" s="18"/>
      <c r="AF21" s="18"/>
      <c r="AG21" s="18"/>
      <c r="AH21" s="18"/>
      <c r="AI21" s="18"/>
    </row>
    <row r="22" spans="1:35" hidden="1" x14ac:dyDescent="0.25">
      <c r="N22" s="18">
        <f>IF(N20,0,1)</f>
        <v>1</v>
      </c>
      <c r="Q22" s="18">
        <f>IF(Q20,0,1)</f>
        <v>1</v>
      </c>
      <c r="T22" s="18">
        <f>IF(T20,0,1)</f>
        <v>1</v>
      </c>
      <c r="V22" s="18"/>
      <c r="W22" s="18">
        <f>IF(W20,0,1)</f>
        <v>1</v>
      </c>
      <c r="X22" s="18"/>
      <c r="Y22" s="18"/>
      <c r="Z22" s="18">
        <f>IF(Z20,0,1)</f>
        <v>1</v>
      </c>
      <c r="AA22" s="18"/>
      <c r="AB22" s="18"/>
      <c r="AC22" s="18">
        <f>IF(AC20,0,1)</f>
        <v>1</v>
      </c>
      <c r="AD22" s="18"/>
      <c r="AE22" s="18"/>
      <c r="AF22" s="18"/>
      <c r="AG22" s="18"/>
      <c r="AH22" s="18"/>
      <c r="AI22" s="18"/>
    </row>
    <row r="23" spans="1:35" hidden="1" x14ac:dyDescent="0.25">
      <c r="K23" s="18" t="s">
        <v>623</v>
      </c>
      <c r="N23" s="18">
        <f>SUM(N21:AI21)*3</f>
        <v>0</v>
      </c>
      <c r="Q23" s="18">
        <f>SUM(N21:AI21)*3</f>
        <v>0</v>
      </c>
      <c r="T23" s="18">
        <f>SUM(N21:AI21)*3</f>
        <v>0</v>
      </c>
      <c r="V23" s="18"/>
      <c r="W23" s="18">
        <f>SUM(N21:AI21)*3</f>
        <v>0</v>
      </c>
      <c r="X23" s="18"/>
      <c r="Y23" s="18"/>
      <c r="Z23" s="18">
        <f>SUM(N21:AI21)*3</f>
        <v>0</v>
      </c>
      <c r="AA23" s="18"/>
      <c r="AB23" s="18"/>
      <c r="AC23" s="18">
        <f>SUM(N21:AI21)*3</f>
        <v>0</v>
      </c>
      <c r="AD23" s="18"/>
      <c r="AE23" s="18"/>
      <c r="AF23" s="18"/>
      <c r="AG23" s="18"/>
      <c r="AH23" s="18"/>
      <c r="AI23" s="18"/>
    </row>
    <row r="24" spans="1:35" hidden="1" x14ac:dyDescent="0.25">
      <c r="K24" s="18" t="s">
        <v>624</v>
      </c>
      <c r="L24" s="22">
        <v>1</v>
      </c>
      <c r="M24" s="22">
        <v>2</v>
      </c>
      <c r="N24" s="22">
        <v>3</v>
      </c>
      <c r="O24" s="22">
        <v>4</v>
      </c>
      <c r="P24" s="22">
        <v>5</v>
      </c>
      <c r="Q24" s="22">
        <v>6</v>
      </c>
      <c r="R24" s="22">
        <v>7</v>
      </c>
      <c r="S24" s="22">
        <v>8</v>
      </c>
      <c r="T24" s="22">
        <v>9</v>
      </c>
      <c r="U24" s="22">
        <v>10</v>
      </c>
      <c r="V24" s="22">
        <v>11</v>
      </c>
      <c r="W24" s="22">
        <v>12</v>
      </c>
      <c r="X24" s="22">
        <v>13</v>
      </c>
      <c r="Y24" s="22">
        <v>14</v>
      </c>
      <c r="Z24" s="22">
        <v>15</v>
      </c>
      <c r="AA24" s="22">
        <v>16</v>
      </c>
      <c r="AB24" s="22">
        <v>17</v>
      </c>
      <c r="AC24" s="22">
        <v>18</v>
      </c>
      <c r="AD24" s="22"/>
      <c r="AE24" s="22"/>
      <c r="AF24" s="22"/>
      <c r="AG24" s="22"/>
      <c r="AH24" s="22"/>
      <c r="AI24" s="22"/>
    </row>
    <row r="25" spans="1:35" hidden="1" x14ac:dyDescent="0.25">
      <c r="L25" s="18">
        <v>0</v>
      </c>
      <c r="M25" s="18">
        <v>0</v>
      </c>
      <c r="N25" s="18">
        <f>IF(N20,MATCH(1,N21:AI21,0)+M24,0)</f>
        <v>0</v>
      </c>
      <c r="O25" s="18">
        <f t="shared" ref="O25:AC25" si="4">IF(O20,MATCH(1,O21:AJ21,0)+N24,0)</f>
        <v>0</v>
      </c>
      <c r="P25" s="18">
        <f t="shared" si="4"/>
        <v>0</v>
      </c>
      <c r="Q25" s="18">
        <f t="shared" si="4"/>
        <v>0</v>
      </c>
      <c r="R25" s="18">
        <f t="shared" si="4"/>
        <v>0</v>
      </c>
      <c r="S25" s="18">
        <f t="shared" si="4"/>
        <v>0</v>
      </c>
      <c r="T25" s="18">
        <f t="shared" si="4"/>
        <v>0</v>
      </c>
      <c r="U25" s="18">
        <f t="shared" si="4"/>
        <v>0</v>
      </c>
      <c r="V25" s="18">
        <f t="shared" si="4"/>
        <v>0</v>
      </c>
      <c r="W25" s="18">
        <f t="shared" si="4"/>
        <v>0</v>
      </c>
      <c r="X25" s="18">
        <f t="shared" si="4"/>
        <v>0</v>
      </c>
      <c r="Y25" s="18">
        <f t="shared" si="4"/>
        <v>0</v>
      </c>
      <c r="Z25" s="18">
        <f t="shared" si="4"/>
        <v>0</v>
      </c>
      <c r="AA25" s="18">
        <f t="shared" si="4"/>
        <v>0</v>
      </c>
      <c r="AB25" s="18">
        <f t="shared" si="4"/>
        <v>0</v>
      </c>
      <c r="AC25" s="18">
        <f t="shared" si="4"/>
        <v>0</v>
      </c>
      <c r="AD25" s="18"/>
      <c r="AE25" s="18"/>
      <c r="AF25" s="18"/>
      <c r="AG25" s="18"/>
      <c r="AH25" s="18"/>
      <c r="AI25" s="18"/>
    </row>
    <row r="26" spans="1:35" hidden="1" x14ac:dyDescent="0.25">
      <c r="L26" s="18" t="str">
        <f>IF(L25&lt;&gt;0,L25,"")</f>
        <v/>
      </c>
      <c r="M26" s="18" t="str">
        <f t="shared" ref="M26:AC26" si="5">IF(M25&lt;&gt;0,M25,"")</f>
        <v/>
      </c>
      <c r="N26" s="18" t="str">
        <f t="shared" si="5"/>
        <v/>
      </c>
      <c r="O26" s="18" t="str">
        <f t="shared" si="5"/>
        <v/>
      </c>
      <c r="P26" s="18" t="str">
        <f t="shared" si="5"/>
        <v/>
      </c>
      <c r="Q26" s="18" t="str">
        <f t="shared" si="5"/>
        <v/>
      </c>
      <c r="R26" s="18" t="str">
        <f t="shared" si="5"/>
        <v/>
      </c>
      <c r="S26" s="18" t="str">
        <f t="shared" si="5"/>
        <v/>
      </c>
      <c r="T26" s="18" t="str">
        <f t="shared" si="5"/>
        <v/>
      </c>
      <c r="U26" s="18" t="str">
        <f t="shared" si="5"/>
        <v/>
      </c>
      <c r="V26" s="18" t="str">
        <f t="shared" si="5"/>
        <v/>
      </c>
      <c r="W26" s="18" t="str">
        <f t="shared" si="5"/>
        <v/>
      </c>
      <c r="X26" s="18" t="str">
        <f t="shared" si="5"/>
        <v/>
      </c>
      <c r="Y26" s="18" t="str">
        <f t="shared" si="5"/>
        <v/>
      </c>
      <c r="Z26" s="18" t="str">
        <f t="shared" si="5"/>
        <v/>
      </c>
      <c r="AA26" s="18" t="str">
        <f t="shared" si="5"/>
        <v/>
      </c>
      <c r="AB26" s="18" t="str">
        <f t="shared" si="5"/>
        <v/>
      </c>
      <c r="AC26" s="18" t="str">
        <f t="shared" si="5"/>
        <v/>
      </c>
      <c r="AD26" s="18"/>
      <c r="AE26" s="18"/>
      <c r="AF26" s="18"/>
      <c r="AG26" s="18"/>
      <c r="AH26" s="18"/>
      <c r="AI26" s="18"/>
    </row>
    <row r="27" spans="1:35" hidden="1" x14ac:dyDescent="0.25">
      <c r="N27" s="18" t="b">
        <f>IF(N23&gt;=N24,TRUE,FALSE)</f>
        <v>0</v>
      </c>
      <c r="Q27" s="18" t="b">
        <f>IF(Q23&gt;=Q24,TRUE,FALSE)</f>
        <v>0</v>
      </c>
      <c r="T27" s="18" t="b">
        <f>IF(T23&gt;=T24,TRUE,FALSE)</f>
        <v>0</v>
      </c>
      <c r="V27" s="18"/>
      <c r="W27" s="18" t="b">
        <f>IF(W23&gt;=W24,TRUE,FALSE)</f>
        <v>0</v>
      </c>
      <c r="X27" s="18"/>
      <c r="Y27" s="18"/>
      <c r="Z27" s="18" t="b">
        <f>IF(Z23&gt;=Z24,TRUE,FALSE)</f>
        <v>0</v>
      </c>
      <c r="AA27" s="18"/>
      <c r="AB27" s="18"/>
      <c r="AC27" s="18" t="b">
        <f>IF(AC23&gt;=AC24,TRUE,FALSE)</f>
        <v>0</v>
      </c>
      <c r="AD27" s="18"/>
      <c r="AE27" s="18"/>
      <c r="AF27" s="18"/>
      <c r="AG27" s="18"/>
      <c r="AH27" s="18"/>
      <c r="AI27" s="18"/>
    </row>
    <row r="28" spans="1:35" hidden="1" x14ac:dyDescent="0.25">
      <c r="K28" s="18" t="s">
        <v>625</v>
      </c>
      <c r="L28" s="18" t="str">
        <f>IFERROR(SMALL($L$26:$AI$26,1),"")</f>
        <v/>
      </c>
      <c r="M28" s="18" t="str">
        <f>IFERROR(SMALL($L$26:$AI$26,2),"")</f>
        <v/>
      </c>
      <c r="N28" s="18" t="str">
        <f>IFERROR(SMALL($L$26:$AI$26,3),"")</f>
        <v/>
      </c>
      <c r="O28" s="18" t="str">
        <f>IFERROR(SMALL($L$26:$AI$26,4),"")</f>
        <v/>
      </c>
      <c r="P28" s="18" t="str">
        <f>IFERROR(SMALL($L$26:$AI$26,5),"")</f>
        <v/>
      </c>
      <c r="Q28" s="18" t="str">
        <f>IFERROR(SMALL($L$26:$AI$26,6),"")</f>
        <v/>
      </c>
      <c r="R28" s="18" t="str">
        <f>IFERROR(SMALL($L$26:$AI$26,7),"")</f>
        <v/>
      </c>
      <c r="S28" s="18" t="str">
        <f>IFERROR(SMALL($L$26:$AI$26,8),"")</f>
        <v/>
      </c>
    </row>
    <row r="29" spans="1:35" hidden="1" x14ac:dyDescent="0.25"/>
    <row r="30" spans="1:35" hidden="1" x14ac:dyDescent="0.25">
      <c r="B30" s="14"/>
      <c r="C30" s="20"/>
      <c r="D30" s="20"/>
      <c r="E30"/>
      <c r="F30"/>
      <c r="G30"/>
    </row>
    <row r="31" spans="1:35" hidden="1" x14ac:dyDescent="0.25">
      <c r="B31"/>
      <c r="C31"/>
      <c r="D31"/>
      <c r="E31"/>
      <c r="F31"/>
      <c r="G31"/>
      <c r="O31"/>
      <c r="P31"/>
      <c r="Q31"/>
      <c r="R31"/>
      <c r="S31"/>
      <c r="T31"/>
      <c r="U31"/>
    </row>
    <row r="32" spans="1:35" hidden="1" x14ac:dyDescent="0.25">
      <c r="B32"/>
      <c r="C32"/>
      <c r="D32"/>
      <c r="E32"/>
      <c r="F32"/>
      <c r="G32"/>
      <c r="O32"/>
      <c r="P32"/>
      <c r="Q32"/>
      <c r="R32"/>
      <c r="S32"/>
      <c r="T32"/>
      <c r="U32"/>
    </row>
    <row r="33" spans="2:7" hidden="1" x14ac:dyDescent="0.25">
      <c r="B33"/>
      <c r="C33"/>
      <c r="D33"/>
      <c r="E33"/>
      <c r="F33"/>
      <c r="G33"/>
    </row>
    <row r="34" spans="2:7" hidden="1" x14ac:dyDescent="0.25">
      <c r="B34"/>
      <c r="C34"/>
      <c r="D34"/>
      <c r="E34"/>
      <c r="F34"/>
      <c r="G34"/>
    </row>
    <row r="35" spans="2:7" x14ac:dyDescent="0.25">
      <c r="B35"/>
      <c r="C35"/>
      <c r="D35"/>
      <c r="E35"/>
      <c r="F35"/>
      <c r="G35"/>
    </row>
    <row r="36" spans="2:7" x14ac:dyDescent="0.25">
      <c r="B36"/>
      <c r="C36"/>
      <c r="D36"/>
      <c r="E36"/>
      <c r="F36"/>
      <c r="G36"/>
    </row>
    <row r="37" spans="2:7" x14ac:dyDescent="0.25">
      <c r="B37"/>
      <c r="C37"/>
      <c r="D37"/>
      <c r="E37"/>
      <c r="F37"/>
      <c r="G37"/>
    </row>
    <row r="38" spans="2:7" x14ac:dyDescent="0.25">
      <c r="B38"/>
      <c r="C38"/>
      <c r="D38"/>
      <c r="E38"/>
      <c r="F38"/>
      <c r="G38"/>
    </row>
    <row r="39" spans="2:7" x14ac:dyDescent="0.25">
      <c r="B39"/>
      <c r="C39"/>
      <c r="D39"/>
      <c r="E39"/>
      <c r="F39"/>
      <c r="G39"/>
    </row>
    <row r="40" spans="2:7" x14ac:dyDescent="0.25">
      <c r="B40"/>
      <c r="C40"/>
      <c r="D40"/>
      <c r="E40"/>
      <c r="F40"/>
      <c r="G40"/>
    </row>
    <row r="41" spans="2:7" x14ac:dyDescent="0.25">
      <c r="B41"/>
      <c r="C41"/>
      <c r="D41"/>
      <c r="E41"/>
      <c r="F41"/>
      <c r="G41"/>
    </row>
    <row r="42" spans="2:7" x14ac:dyDescent="0.25">
      <c r="B42"/>
      <c r="C42"/>
      <c r="D42"/>
      <c r="E42"/>
      <c r="F42"/>
      <c r="G42"/>
    </row>
    <row r="43" spans="2:7" x14ac:dyDescent="0.25">
      <c r="B43"/>
      <c r="C43"/>
      <c r="D43"/>
      <c r="E43"/>
      <c r="F43"/>
      <c r="G43"/>
    </row>
    <row r="44" spans="2:7" x14ac:dyDescent="0.25">
      <c r="B44"/>
      <c r="C44"/>
      <c r="D44"/>
      <c r="E44"/>
      <c r="F44"/>
      <c r="G44"/>
    </row>
    <row r="45" spans="2:7" x14ac:dyDescent="0.25">
      <c r="B45"/>
      <c r="C45"/>
      <c r="D45"/>
      <c r="E45"/>
      <c r="F45"/>
      <c r="G45"/>
    </row>
    <row r="46" spans="2:7" x14ac:dyDescent="0.25">
      <c r="B46"/>
      <c r="C46"/>
      <c r="D46"/>
      <c r="E46"/>
      <c r="F46"/>
      <c r="G46"/>
    </row>
    <row r="47" spans="2:7" x14ac:dyDescent="0.25">
      <c r="B47"/>
      <c r="C47"/>
      <c r="D47"/>
      <c r="E47"/>
      <c r="F47"/>
      <c r="G47"/>
    </row>
    <row r="48" spans="2:7" x14ac:dyDescent="0.25">
      <c r="B48"/>
      <c r="C48"/>
      <c r="D48"/>
      <c r="E48"/>
      <c r="F48"/>
      <c r="G48"/>
    </row>
    <row r="49" spans="2:7" x14ac:dyDescent="0.25">
      <c r="B49"/>
      <c r="C49"/>
      <c r="D49"/>
      <c r="E49"/>
      <c r="F49"/>
      <c r="G49"/>
    </row>
    <row r="50" spans="2:7" x14ac:dyDescent="0.25">
      <c r="B50"/>
      <c r="C50"/>
      <c r="D50"/>
      <c r="E50"/>
      <c r="F50"/>
      <c r="G50"/>
    </row>
    <row r="51" spans="2:7" x14ac:dyDescent="0.25">
      <c r="B51"/>
      <c r="C51"/>
      <c r="D51"/>
      <c r="E51"/>
      <c r="F51"/>
      <c r="G51"/>
    </row>
    <row r="52" spans="2:7" x14ac:dyDescent="0.25">
      <c r="B52"/>
      <c r="C52"/>
      <c r="D52"/>
      <c r="E52"/>
      <c r="F52"/>
      <c r="G52"/>
    </row>
    <row r="53" spans="2:7" x14ac:dyDescent="0.25">
      <c r="B53"/>
      <c r="C53"/>
      <c r="D53"/>
      <c r="E53"/>
      <c r="F53"/>
      <c r="G53"/>
    </row>
    <row r="54" spans="2:7" x14ac:dyDescent="0.25">
      <c r="B54"/>
      <c r="C54"/>
      <c r="D54"/>
      <c r="E54"/>
      <c r="F54"/>
      <c r="G54"/>
    </row>
    <row r="55" spans="2:7" x14ac:dyDescent="0.25">
      <c r="B55"/>
      <c r="C55"/>
      <c r="D55"/>
      <c r="E55"/>
      <c r="F55"/>
      <c r="G55"/>
    </row>
    <row r="56" spans="2:7" x14ac:dyDescent="0.25">
      <c r="B56"/>
      <c r="C56"/>
      <c r="D56"/>
      <c r="E56"/>
      <c r="F56"/>
      <c r="G56"/>
    </row>
    <row r="57" spans="2:7" x14ac:dyDescent="0.25">
      <c r="B57"/>
      <c r="C57"/>
      <c r="D57"/>
      <c r="E57"/>
      <c r="F57"/>
      <c r="G57"/>
    </row>
    <row r="58" spans="2:7" x14ac:dyDescent="0.25">
      <c r="B58"/>
      <c r="C58"/>
      <c r="D58"/>
      <c r="E58"/>
      <c r="F58"/>
      <c r="G58"/>
    </row>
    <row r="59" spans="2:7" x14ac:dyDescent="0.25">
      <c r="B59"/>
      <c r="C59"/>
      <c r="D59"/>
      <c r="E59"/>
      <c r="F59"/>
      <c r="G59"/>
    </row>
    <row r="60" spans="2:7" x14ac:dyDescent="0.25">
      <c r="B60"/>
      <c r="C60"/>
      <c r="D60"/>
      <c r="E60"/>
      <c r="F60"/>
      <c r="G60"/>
    </row>
    <row r="61" spans="2:7" x14ac:dyDescent="0.25">
      <c r="B61"/>
      <c r="C61"/>
      <c r="D61"/>
      <c r="E61"/>
      <c r="F61"/>
      <c r="G61"/>
    </row>
    <row r="62" spans="2:7" x14ac:dyDescent="0.25">
      <c r="B62"/>
      <c r="C62"/>
      <c r="D62"/>
      <c r="E62"/>
      <c r="F62"/>
      <c r="G62"/>
    </row>
    <row r="63" spans="2:7" x14ac:dyDescent="0.25">
      <c r="B63"/>
      <c r="C63"/>
      <c r="D63"/>
      <c r="E63"/>
      <c r="F63"/>
      <c r="G63"/>
    </row>
    <row r="64" spans="2:7" x14ac:dyDescent="0.25">
      <c r="B64"/>
      <c r="C64"/>
      <c r="D64"/>
      <c r="E64"/>
      <c r="F64"/>
      <c r="G64"/>
    </row>
    <row r="65" spans="2:7" x14ac:dyDescent="0.25">
      <c r="B65"/>
      <c r="C65"/>
      <c r="D65"/>
      <c r="E65"/>
      <c r="F65"/>
      <c r="G65"/>
    </row>
    <row r="66" spans="2:7" x14ac:dyDescent="0.25">
      <c r="B66"/>
      <c r="C66"/>
      <c r="D66"/>
      <c r="E66"/>
      <c r="F66"/>
      <c r="G66"/>
    </row>
    <row r="67" spans="2:7" x14ac:dyDescent="0.25">
      <c r="B67"/>
      <c r="C67"/>
      <c r="D67"/>
      <c r="E67"/>
      <c r="F67"/>
      <c r="G67"/>
    </row>
    <row r="68" spans="2:7" x14ac:dyDescent="0.25">
      <c r="B68"/>
      <c r="C68"/>
      <c r="D68"/>
      <c r="E68"/>
      <c r="F68"/>
      <c r="G68"/>
    </row>
    <row r="69" spans="2:7" x14ac:dyDescent="0.25">
      <c r="B69"/>
      <c r="C69"/>
      <c r="D69"/>
      <c r="E69"/>
      <c r="F69"/>
      <c r="G69"/>
    </row>
    <row r="70" spans="2:7" x14ac:dyDescent="0.25">
      <c r="B70"/>
      <c r="C70"/>
      <c r="D70"/>
      <c r="E70"/>
      <c r="F70"/>
      <c r="G70"/>
    </row>
    <row r="71" spans="2:7" x14ac:dyDescent="0.25">
      <c r="B71"/>
      <c r="C71"/>
      <c r="D71"/>
      <c r="E71"/>
      <c r="F71"/>
      <c r="G71"/>
    </row>
    <row r="72" spans="2:7" x14ac:dyDescent="0.25">
      <c r="B72"/>
      <c r="C72"/>
      <c r="D72"/>
      <c r="E72"/>
      <c r="F72"/>
      <c r="G72"/>
    </row>
    <row r="73" spans="2:7" x14ac:dyDescent="0.25">
      <c r="B73"/>
      <c r="C73"/>
      <c r="D73"/>
      <c r="E73"/>
      <c r="F73"/>
      <c r="G73"/>
    </row>
    <row r="74" spans="2:7" x14ac:dyDescent="0.25">
      <c r="B74"/>
      <c r="C74"/>
      <c r="D74"/>
      <c r="E74"/>
      <c r="F74"/>
      <c r="G74"/>
    </row>
    <row r="75" spans="2:7" x14ac:dyDescent="0.25">
      <c r="B75"/>
      <c r="C75"/>
      <c r="D75"/>
      <c r="E75"/>
      <c r="F75"/>
      <c r="G75"/>
    </row>
    <row r="76" spans="2:7" x14ac:dyDescent="0.25">
      <c r="B76"/>
      <c r="C76"/>
      <c r="D76"/>
      <c r="E76"/>
      <c r="F76"/>
      <c r="G76"/>
    </row>
    <row r="77" spans="2:7" x14ac:dyDescent="0.25">
      <c r="B77"/>
      <c r="C77"/>
      <c r="D77"/>
      <c r="E77"/>
      <c r="F77"/>
      <c r="G77"/>
    </row>
    <row r="78" spans="2:7" x14ac:dyDescent="0.25">
      <c r="B78"/>
      <c r="C78"/>
      <c r="D78"/>
      <c r="E78"/>
      <c r="F78"/>
      <c r="G78"/>
    </row>
    <row r="79" spans="2:7" x14ac:dyDescent="0.25">
      <c r="B79"/>
      <c r="C79"/>
      <c r="D79"/>
      <c r="E79"/>
      <c r="F79"/>
      <c r="G79"/>
    </row>
    <row r="80" spans="2:7" x14ac:dyDescent="0.25">
      <c r="B80"/>
      <c r="C80"/>
      <c r="D80"/>
      <c r="E80"/>
      <c r="F80"/>
      <c r="G80"/>
    </row>
    <row r="81" spans="2:7" x14ac:dyDescent="0.25">
      <c r="B81"/>
      <c r="C81"/>
      <c r="D81"/>
      <c r="E81"/>
      <c r="F81"/>
      <c r="G81"/>
    </row>
    <row r="82" spans="2:7" x14ac:dyDescent="0.25">
      <c r="B82"/>
      <c r="C82"/>
      <c r="D82"/>
      <c r="E82"/>
      <c r="F82"/>
      <c r="G82"/>
    </row>
    <row r="83" spans="2:7" x14ac:dyDescent="0.25">
      <c r="B83"/>
      <c r="C83"/>
      <c r="D83"/>
      <c r="E83"/>
      <c r="F83"/>
      <c r="G83"/>
    </row>
    <row r="84" spans="2:7" x14ac:dyDescent="0.25">
      <c r="B84"/>
      <c r="C84"/>
      <c r="D84"/>
    </row>
    <row r="90" spans="2:7" x14ac:dyDescent="0.25">
      <c r="D90" s="18" t="s">
        <v>626</v>
      </c>
    </row>
    <row r="91" spans="2:7" x14ac:dyDescent="0.25">
      <c r="D91" s="18" t="s">
        <v>627</v>
      </c>
    </row>
  </sheetData>
  <mergeCells count="9">
    <mergeCell ref="B6:K6"/>
    <mergeCell ref="L6:Q6"/>
    <mergeCell ref="R6:U6"/>
    <mergeCell ref="B13:K13"/>
    <mergeCell ref="R1:T1"/>
    <mergeCell ref="R2:T2"/>
    <mergeCell ref="R4:T4"/>
    <mergeCell ref="R3:T3"/>
    <mergeCell ref="L13:AC13"/>
  </mergeCells>
  <pageMargins left="0.7" right="0.7" top="0.75" bottom="0.75" header="0.3" footer="0.3"/>
  <pageSetup paperSize="9" scale="3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7:J8"/>
  <sheetViews>
    <sheetView workbookViewId="0">
      <selection activeCell="J8" sqref="J8"/>
    </sheetView>
  </sheetViews>
  <sheetFormatPr defaultRowHeight="15" x14ac:dyDescent="0.25"/>
  <sheetData>
    <row r="7" spans="6:10" x14ac:dyDescent="0.25">
      <c r="F7">
        <v>55555555</v>
      </c>
    </row>
    <row r="8" spans="6:10" x14ac:dyDescent="0.25">
      <c r="J8">
        <v>444444</v>
      </c>
    </row>
  </sheetData>
  <sheetProtection algorithmName="SHA-512" hashValue="eY4eMAPVHYpLj9up75TBuG6If6VAuTNk+FCBxTChC8fI0ynwf8cirRPwxnGsldYdrYbZaFVqe23vH89PR017mA==" saltValue="2zOPbMXJD6AIiMSPnNIJ5w==" spinCount="100000" sheet="1" objects="1" scenarios="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L173"/>
  <sheetViews>
    <sheetView zoomScaleSheetLayoutView="100" workbookViewId="0">
      <selection activeCell="B9" sqref="B9"/>
    </sheetView>
  </sheetViews>
  <sheetFormatPr defaultColWidth="9" defaultRowHeight="15" x14ac:dyDescent="0.25"/>
  <cols>
    <col min="1" max="1" width="6.140625" customWidth="1"/>
    <col min="2" max="11" width="14.42578125" customWidth="1"/>
    <col min="12" max="15" width="18.42578125" customWidth="1"/>
    <col min="17" max="17" width="21.85546875" customWidth="1"/>
    <col min="19" max="19" width="28" customWidth="1"/>
  </cols>
  <sheetData>
    <row r="5" spans="2:12" x14ac:dyDescent="0.25">
      <c r="B5" t="s">
        <v>628</v>
      </c>
    </row>
    <row r="9" spans="2:12" x14ac:dyDescent="0.25">
      <c r="B9" t="s">
        <v>629</v>
      </c>
    </row>
    <row r="11" spans="2:12" x14ac:dyDescent="0.25">
      <c r="B11" t="s">
        <v>630</v>
      </c>
    </row>
    <row r="12" spans="2:12" x14ac:dyDescent="0.25">
      <c r="B12" s="13" t="s">
        <v>631</v>
      </c>
      <c r="C12" s="13" t="s">
        <v>632</v>
      </c>
      <c r="D12" s="13" t="s">
        <v>633</v>
      </c>
      <c r="E12" s="13" t="s">
        <v>634</v>
      </c>
      <c r="F12" s="13" t="s">
        <v>635</v>
      </c>
      <c r="G12" s="13" t="s">
        <v>636</v>
      </c>
      <c r="H12" s="13" t="s">
        <v>637</v>
      </c>
      <c r="I12" s="13" t="s">
        <v>638</v>
      </c>
      <c r="J12" s="13" t="s">
        <v>639</v>
      </c>
      <c r="K12" s="13" t="s">
        <v>640</v>
      </c>
      <c r="L12" s="13" t="s">
        <v>641</v>
      </c>
    </row>
    <row r="13" spans="2:12" x14ac:dyDescent="0.25">
      <c r="B13" s="13"/>
      <c r="C13" s="13"/>
      <c r="D13" s="13"/>
      <c r="E13" s="13"/>
      <c r="F13" s="13"/>
      <c r="G13" s="13"/>
      <c r="H13" s="13"/>
      <c r="I13" s="13"/>
      <c r="J13" s="13"/>
      <c r="K13" s="13"/>
      <c r="L13" s="13"/>
    </row>
    <row r="15" spans="2:12" x14ac:dyDescent="0.25">
      <c r="B15" s="14" t="str">
        <f>Q17&amp;"X.v "&amp;"Veiksmas: "&amp;'1_punktas'!D59</f>
        <v xml:space="preserve">X.v Veiksmas: </v>
      </c>
    </row>
    <row r="16" spans="2:12" x14ac:dyDescent="0.25">
      <c r="B16" s="15" t="str">
        <f>" ("&amp;'1_punktas'!D60&amp;")"</f>
        <v xml:space="preserve"> (Pagrindinis projekto tikslas – kurti naujas darbo vietas ir didinti esamų darbuotojų kuriamą pridėtinę vertę Vilniaus regione, modernizuojant įmonės gamybos infrastruktūrą. Projekto veiklos: naujos gamybinės bazės statyba bei modernios įrangos skirtos gamybai ir remontui įsigijimas. Siekiant įgyvendinti projektą planuojama jį įtraukti į regioninės svarbos projektų sąrašą ir įgyti teisę naudotis sklypo adresu Terminalo g. 8, Vilnius dalimi bei šalia esančia laisva valstybės žeme. Projekto įgyvendinimo laikotarpis 2020-05 – 2025-02.)</v>
      </c>
    </row>
    <row r="17" spans="2:11" ht="75" customHeight="1" x14ac:dyDescent="0.25">
      <c r="B17" s="16" t="s">
        <v>642</v>
      </c>
      <c r="C17" s="16" t="s">
        <v>643</v>
      </c>
      <c r="D17" s="16" t="s">
        <v>644</v>
      </c>
      <c r="E17" s="16" t="s">
        <v>105</v>
      </c>
      <c r="F17" s="620" t="s">
        <v>645</v>
      </c>
      <c r="G17" s="620"/>
      <c r="H17" s="620"/>
      <c r="I17" s="620"/>
      <c r="J17" s="620"/>
      <c r="K17" s="16" t="s">
        <v>646</v>
      </c>
    </row>
    <row r="18" spans="2:11" ht="30" customHeight="1" x14ac:dyDescent="0.25">
      <c r="B18" s="16"/>
      <c r="C18" s="16"/>
      <c r="D18" s="16" t="str">
        <f>'1_punktas'!D64</f>
        <v>UAB Vilniaus lokomotyvų remonto depas, įmonės kodas 126280418</v>
      </c>
      <c r="E18" s="16">
        <f>'1_punktas'!D65</f>
        <v>0</v>
      </c>
      <c r="F18" s="620"/>
      <c r="G18" s="620"/>
      <c r="H18" s="620"/>
      <c r="I18" s="620"/>
      <c r="J18" s="620"/>
      <c r="K18" s="16" t="str">
        <f>'1_punktas'!D68</f>
        <v>–</v>
      </c>
    </row>
    <row r="19" spans="2:11" x14ac:dyDescent="0.25">
      <c r="B19" s="14" t="str">
        <f>Q17&amp;"X.v Veiksmo lėšų poreikis ir finansavimo šaltiniai"</f>
        <v>X.v Veiksmo lėšų poreikis ir finansavimo šaltiniai</v>
      </c>
    </row>
    <row r="20" spans="2:11" ht="45" x14ac:dyDescent="0.25">
      <c r="B20" s="16" t="s">
        <v>647</v>
      </c>
      <c r="C20" s="621" t="s">
        <v>648</v>
      </c>
      <c r="D20" s="622"/>
      <c r="E20" s="621" t="s">
        <v>649</v>
      </c>
      <c r="F20" s="622"/>
      <c r="G20" s="621"/>
      <c r="H20" s="622"/>
      <c r="I20" s="621" t="s">
        <v>650</v>
      </c>
      <c r="J20" s="622"/>
      <c r="K20" s="16" t="s">
        <v>651</v>
      </c>
    </row>
    <row r="21" spans="2:11" ht="30" x14ac:dyDescent="0.25">
      <c r="B21" s="16"/>
      <c r="C21" s="16" t="s">
        <v>114</v>
      </c>
      <c r="D21" s="16" t="s">
        <v>652</v>
      </c>
      <c r="E21" s="16" t="s">
        <v>114</v>
      </c>
      <c r="F21" s="16" t="s">
        <v>652</v>
      </c>
      <c r="G21" s="16" t="s">
        <v>114</v>
      </c>
      <c r="H21" s="16" t="s">
        <v>652</v>
      </c>
      <c r="I21" s="16" t="s">
        <v>114</v>
      </c>
      <c r="J21" s="16" t="s">
        <v>652</v>
      </c>
      <c r="K21" s="16"/>
    </row>
    <row r="22" spans="2:11" x14ac:dyDescent="0.25">
      <c r="B22" s="17"/>
      <c r="C22" s="17"/>
      <c r="D22" s="17"/>
      <c r="E22" s="17"/>
      <c r="F22" s="17"/>
      <c r="G22" s="17"/>
      <c r="H22" s="17"/>
      <c r="I22" s="17"/>
      <c r="J22" s="17"/>
      <c r="K22" s="17"/>
    </row>
    <row r="33" spans="2:2" x14ac:dyDescent="0.25">
      <c r="B33" t="s">
        <v>653</v>
      </c>
    </row>
    <row r="34" spans="2:2" x14ac:dyDescent="0.25">
      <c r="B34" t="s">
        <v>653</v>
      </c>
    </row>
    <row r="45" spans="2:2" x14ac:dyDescent="0.25">
      <c r="B45" t="s">
        <v>653</v>
      </c>
    </row>
    <row r="46" spans="2:2" x14ac:dyDescent="0.25">
      <c r="B46" t="s">
        <v>653</v>
      </c>
    </row>
    <row r="47" spans="2:2" x14ac:dyDescent="0.25">
      <c r="B47" t="s">
        <v>653</v>
      </c>
    </row>
    <row r="48" spans="2:2" x14ac:dyDescent="0.25">
      <c r="B48" t="s">
        <v>653</v>
      </c>
    </row>
    <row r="49" spans="2:2" x14ac:dyDescent="0.25">
      <c r="B49" t="s">
        <v>653</v>
      </c>
    </row>
    <row r="50" spans="2:2" x14ac:dyDescent="0.25">
      <c r="B50" t="s">
        <v>653</v>
      </c>
    </row>
    <row r="51" spans="2:2" x14ac:dyDescent="0.25">
      <c r="B51" t="s">
        <v>653</v>
      </c>
    </row>
    <row r="52" spans="2:2" x14ac:dyDescent="0.25">
      <c r="B52" t="s">
        <v>653</v>
      </c>
    </row>
    <row r="53" spans="2:2" x14ac:dyDescent="0.25">
      <c r="B53" t="s">
        <v>653</v>
      </c>
    </row>
    <row r="54" spans="2:2" x14ac:dyDescent="0.25">
      <c r="B54" t="s">
        <v>653</v>
      </c>
    </row>
    <row r="55" spans="2:2" x14ac:dyDescent="0.25">
      <c r="B55" t="s">
        <v>653</v>
      </c>
    </row>
    <row r="56" spans="2:2" x14ac:dyDescent="0.25">
      <c r="B56" t="s">
        <v>653</v>
      </c>
    </row>
    <row r="57" spans="2:2" x14ac:dyDescent="0.25">
      <c r="B57" t="s">
        <v>653</v>
      </c>
    </row>
    <row r="58" spans="2:2" x14ac:dyDescent="0.25">
      <c r="B58" t="s">
        <v>653</v>
      </c>
    </row>
    <row r="59" spans="2:2" x14ac:dyDescent="0.25">
      <c r="B59" t="s">
        <v>653</v>
      </c>
    </row>
    <row r="60" spans="2:2" x14ac:dyDescent="0.25">
      <c r="B60" t="s">
        <v>654</v>
      </c>
    </row>
    <row r="61" spans="2:2" x14ac:dyDescent="0.25">
      <c r="B61" t="s">
        <v>655</v>
      </c>
    </row>
    <row r="62" spans="2:2" x14ac:dyDescent="0.25">
      <c r="B62" t="s">
        <v>656</v>
      </c>
    </row>
    <row r="63" spans="2:2" x14ac:dyDescent="0.25">
      <c r="B63" t="s">
        <v>657</v>
      </c>
    </row>
    <row r="64" spans="2:2" x14ac:dyDescent="0.25">
      <c r="B64" t="s">
        <v>658</v>
      </c>
    </row>
    <row r="65" spans="2:2" x14ac:dyDescent="0.25">
      <c r="B65" t="s">
        <v>659</v>
      </c>
    </row>
    <row r="66" spans="2:2" x14ac:dyDescent="0.25">
      <c r="B66" t="s">
        <v>660</v>
      </c>
    </row>
    <row r="67" spans="2:2" x14ac:dyDescent="0.25">
      <c r="B67" t="s">
        <v>661</v>
      </c>
    </row>
    <row r="68" spans="2:2" x14ac:dyDescent="0.25">
      <c r="B68" t="s">
        <v>662</v>
      </c>
    </row>
    <row r="69" spans="2:2" x14ac:dyDescent="0.25">
      <c r="B69" t="s">
        <v>663</v>
      </c>
    </row>
    <row r="70" spans="2:2" x14ac:dyDescent="0.25">
      <c r="B70" t="s">
        <v>653</v>
      </c>
    </row>
    <row r="71" spans="2:2" x14ac:dyDescent="0.25">
      <c r="B71" t="s">
        <v>653</v>
      </c>
    </row>
    <row r="72" spans="2:2" x14ac:dyDescent="0.25">
      <c r="B72" t="s">
        <v>653</v>
      </c>
    </row>
    <row r="73" spans="2:2" x14ac:dyDescent="0.25">
      <c r="B73" t="s">
        <v>653</v>
      </c>
    </row>
    <row r="74" spans="2:2" x14ac:dyDescent="0.25">
      <c r="B74" t="s">
        <v>653</v>
      </c>
    </row>
    <row r="75" spans="2:2" x14ac:dyDescent="0.25">
      <c r="B75" t="s">
        <v>664</v>
      </c>
    </row>
    <row r="76" spans="2:2" x14ac:dyDescent="0.25">
      <c r="B76" t="s">
        <v>653</v>
      </c>
    </row>
    <row r="77" spans="2:2" x14ac:dyDescent="0.25">
      <c r="B77" t="s">
        <v>653</v>
      </c>
    </row>
    <row r="78" spans="2:2" x14ac:dyDescent="0.25">
      <c r="B78" t="s">
        <v>653</v>
      </c>
    </row>
    <row r="79" spans="2:2" x14ac:dyDescent="0.25">
      <c r="B79" t="s">
        <v>653</v>
      </c>
    </row>
    <row r="80" spans="2:2" x14ac:dyDescent="0.25">
      <c r="B80" t="s">
        <v>653</v>
      </c>
    </row>
    <row r="81" spans="2:2" x14ac:dyDescent="0.25">
      <c r="B81" t="s">
        <v>665</v>
      </c>
    </row>
    <row r="82" spans="2:2" x14ac:dyDescent="0.25">
      <c r="B82" t="s">
        <v>653</v>
      </c>
    </row>
    <row r="83" spans="2:2" x14ac:dyDescent="0.25">
      <c r="B83" t="s">
        <v>653</v>
      </c>
    </row>
    <row r="84" spans="2:2" x14ac:dyDescent="0.25">
      <c r="B84" t="s">
        <v>653</v>
      </c>
    </row>
    <row r="85" spans="2:2" x14ac:dyDescent="0.25">
      <c r="B85" t="s">
        <v>653</v>
      </c>
    </row>
    <row r="86" spans="2:2" x14ac:dyDescent="0.25">
      <c r="B86" t="s">
        <v>666</v>
      </c>
    </row>
    <row r="87" spans="2:2" x14ac:dyDescent="0.25">
      <c r="B87" t="s">
        <v>653</v>
      </c>
    </row>
    <row r="88" spans="2:2" x14ac:dyDescent="0.25">
      <c r="B88" t="s">
        <v>653</v>
      </c>
    </row>
    <row r="89" spans="2:2" x14ac:dyDescent="0.25">
      <c r="B89" t="s">
        <v>653</v>
      </c>
    </row>
    <row r="90" spans="2:2" x14ac:dyDescent="0.25">
      <c r="B90" t="s">
        <v>653</v>
      </c>
    </row>
    <row r="91" spans="2:2" x14ac:dyDescent="0.25">
      <c r="B91" t="s">
        <v>653</v>
      </c>
    </row>
    <row r="92" spans="2:2" x14ac:dyDescent="0.25">
      <c r="B92" t="s">
        <v>667</v>
      </c>
    </row>
    <row r="93" spans="2:2" x14ac:dyDescent="0.25">
      <c r="B93" t="s">
        <v>653</v>
      </c>
    </row>
    <row r="94" spans="2:2" x14ac:dyDescent="0.25">
      <c r="B94" t="s">
        <v>653</v>
      </c>
    </row>
    <row r="95" spans="2:2" x14ac:dyDescent="0.25">
      <c r="B95" t="s">
        <v>653</v>
      </c>
    </row>
    <row r="96" spans="2:2" x14ac:dyDescent="0.25">
      <c r="B96" t="s">
        <v>653</v>
      </c>
    </row>
    <row r="97" spans="2:2" x14ac:dyDescent="0.25">
      <c r="B97" t="s">
        <v>653</v>
      </c>
    </row>
    <row r="98" spans="2:2" x14ac:dyDescent="0.25">
      <c r="B98" t="s">
        <v>668</v>
      </c>
    </row>
    <row r="99" spans="2:2" x14ac:dyDescent="0.25">
      <c r="B99" t="s">
        <v>653</v>
      </c>
    </row>
    <row r="100" spans="2:2" x14ac:dyDescent="0.25">
      <c r="B100" t="s">
        <v>653</v>
      </c>
    </row>
    <row r="101" spans="2:2" x14ac:dyDescent="0.25">
      <c r="B101" t="s">
        <v>653</v>
      </c>
    </row>
    <row r="102" spans="2:2" x14ac:dyDescent="0.25">
      <c r="B102" t="s">
        <v>653</v>
      </c>
    </row>
    <row r="103" spans="2:2" x14ac:dyDescent="0.25">
      <c r="B103" t="s">
        <v>669</v>
      </c>
    </row>
    <row r="104" spans="2:2" x14ac:dyDescent="0.25">
      <c r="B104" t="s">
        <v>653</v>
      </c>
    </row>
    <row r="105" spans="2:2" x14ac:dyDescent="0.25">
      <c r="B105" t="s">
        <v>653</v>
      </c>
    </row>
    <row r="106" spans="2:2" x14ac:dyDescent="0.25">
      <c r="B106" t="s">
        <v>653</v>
      </c>
    </row>
    <row r="107" spans="2:2" x14ac:dyDescent="0.25">
      <c r="B107" t="s">
        <v>653</v>
      </c>
    </row>
    <row r="108" spans="2:2" x14ac:dyDescent="0.25">
      <c r="B108" t="s">
        <v>653</v>
      </c>
    </row>
    <row r="109" spans="2:2" x14ac:dyDescent="0.25">
      <c r="B109" t="s">
        <v>670</v>
      </c>
    </row>
    <row r="110" spans="2:2" x14ac:dyDescent="0.25">
      <c r="B110" t="s">
        <v>653</v>
      </c>
    </row>
    <row r="111" spans="2:2" x14ac:dyDescent="0.25">
      <c r="B111" t="s">
        <v>653</v>
      </c>
    </row>
    <row r="112" spans="2:2" x14ac:dyDescent="0.25">
      <c r="B112" t="s">
        <v>653</v>
      </c>
    </row>
    <row r="113" spans="2:2" x14ac:dyDescent="0.25">
      <c r="B113" t="s">
        <v>653</v>
      </c>
    </row>
    <row r="114" spans="2:2" x14ac:dyDescent="0.25">
      <c r="B114" t="s">
        <v>653</v>
      </c>
    </row>
    <row r="115" spans="2:2" x14ac:dyDescent="0.25">
      <c r="B115" t="s">
        <v>671</v>
      </c>
    </row>
    <row r="116" spans="2:2" x14ac:dyDescent="0.25">
      <c r="B116" t="s">
        <v>653</v>
      </c>
    </row>
    <row r="117" spans="2:2" x14ac:dyDescent="0.25">
      <c r="B117" t="s">
        <v>653</v>
      </c>
    </row>
    <row r="118" spans="2:2" x14ac:dyDescent="0.25">
      <c r="B118" t="s">
        <v>653</v>
      </c>
    </row>
    <row r="119" spans="2:2" x14ac:dyDescent="0.25">
      <c r="B119" t="s">
        <v>653</v>
      </c>
    </row>
    <row r="120" spans="2:2" x14ac:dyDescent="0.25">
      <c r="B120" t="s">
        <v>672</v>
      </c>
    </row>
    <row r="121" spans="2:2" x14ac:dyDescent="0.25">
      <c r="B121" t="s">
        <v>653</v>
      </c>
    </row>
    <row r="122" spans="2:2" x14ac:dyDescent="0.25">
      <c r="B122" t="s">
        <v>653</v>
      </c>
    </row>
    <row r="123" spans="2:2" x14ac:dyDescent="0.25">
      <c r="B123" t="s">
        <v>653</v>
      </c>
    </row>
    <row r="124" spans="2:2" x14ac:dyDescent="0.25">
      <c r="B124" t="s">
        <v>653</v>
      </c>
    </row>
    <row r="125" spans="2:2" x14ac:dyDescent="0.25">
      <c r="B125" t="s">
        <v>673</v>
      </c>
    </row>
    <row r="126" spans="2:2" x14ac:dyDescent="0.25">
      <c r="B126" t="s">
        <v>674</v>
      </c>
    </row>
    <row r="127" spans="2:2" x14ac:dyDescent="0.25">
      <c r="B127" t="s">
        <v>675</v>
      </c>
    </row>
    <row r="128" spans="2:2" x14ac:dyDescent="0.25">
      <c r="B128" t="s">
        <v>675</v>
      </c>
    </row>
    <row r="129" spans="2:2" x14ac:dyDescent="0.25">
      <c r="B129" t="s">
        <v>653</v>
      </c>
    </row>
    <row r="130" spans="2:2" x14ac:dyDescent="0.25">
      <c r="B130" t="s">
        <v>676</v>
      </c>
    </row>
    <row r="131" spans="2:2" x14ac:dyDescent="0.25">
      <c r="B131" t="s">
        <v>675</v>
      </c>
    </row>
    <row r="132" spans="2:2" x14ac:dyDescent="0.25">
      <c r="B132" t="s">
        <v>675</v>
      </c>
    </row>
    <row r="133" spans="2:2" x14ac:dyDescent="0.25">
      <c r="B133" t="s">
        <v>675</v>
      </c>
    </row>
    <row r="134" spans="2:2" x14ac:dyDescent="0.25">
      <c r="B134" t="s">
        <v>653</v>
      </c>
    </row>
    <row r="135" spans="2:2" x14ac:dyDescent="0.25">
      <c r="B135" t="s">
        <v>677</v>
      </c>
    </row>
    <row r="136" spans="2:2" x14ac:dyDescent="0.25">
      <c r="B136" t="s">
        <v>653</v>
      </c>
    </row>
    <row r="137" spans="2:2" x14ac:dyDescent="0.25">
      <c r="B137" t="s">
        <v>653</v>
      </c>
    </row>
    <row r="138" spans="2:2" x14ac:dyDescent="0.25">
      <c r="B138" t="s">
        <v>653</v>
      </c>
    </row>
    <row r="139" spans="2:2" x14ac:dyDescent="0.25">
      <c r="B139" t="s">
        <v>653</v>
      </c>
    </row>
    <row r="140" spans="2:2" x14ac:dyDescent="0.25">
      <c r="B140" t="s">
        <v>678</v>
      </c>
    </row>
    <row r="141" spans="2:2" x14ac:dyDescent="0.25">
      <c r="B141" t="s">
        <v>675</v>
      </c>
    </row>
    <row r="142" spans="2:2" x14ac:dyDescent="0.25">
      <c r="B142" t="s">
        <v>675</v>
      </c>
    </row>
    <row r="143" spans="2:2" x14ac:dyDescent="0.25">
      <c r="B143" t="s">
        <v>675</v>
      </c>
    </row>
    <row r="144" spans="2:2" x14ac:dyDescent="0.25">
      <c r="B144" t="s">
        <v>653</v>
      </c>
    </row>
    <row r="145" spans="2:2" x14ac:dyDescent="0.25">
      <c r="B145" t="s">
        <v>679</v>
      </c>
    </row>
    <row r="146" spans="2:2" x14ac:dyDescent="0.25">
      <c r="B146" t="s">
        <v>675</v>
      </c>
    </row>
    <row r="147" spans="2:2" x14ac:dyDescent="0.25">
      <c r="B147" t="s">
        <v>675</v>
      </c>
    </row>
    <row r="148" spans="2:2" x14ac:dyDescent="0.25">
      <c r="B148" t="s">
        <v>675</v>
      </c>
    </row>
    <row r="149" spans="2:2" x14ac:dyDescent="0.25">
      <c r="B149" t="s">
        <v>653</v>
      </c>
    </row>
    <row r="150" spans="2:2" x14ac:dyDescent="0.25">
      <c r="B150" t="s">
        <v>680</v>
      </c>
    </row>
    <row r="151" spans="2:2" x14ac:dyDescent="0.25">
      <c r="B151" t="s">
        <v>653</v>
      </c>
    </row>
    <row r="152" spans="2:2" x14ac:dyDescent="0.25">
      <c r="B152" t="s">
        <v>653</v>
      </c>
    </row>
    <row r="153" spans="2:2" x14ac:dyDescent="0.25">
      <c r="B153" t="s">
        <v>653</v>
      </c>
    </row>
    <row r="154" spans="2:2" x14ac:dyDescent="0.25">
      <c r="B154" t="s">
        <v>653</v>
      </c>
    </row>
    <row r="155" spans="2:2" x14ac:dyDescent="0.25">
      <c r="B155" t="s">
        <v>681</v>
      </c>
    </row>
    <row r="156" spans="2:2" x14ac:dyDescent="0.25">
      <c r="B156" t="s">
        <v>653</v>
      </c>
    </row>
    <row r="157" spans="2:2" x14ac:dyDescent="0.25">
      <c r="B157" t="s">
        <v>653</v>
      </c>
    </row>
    <row r="158" spans="2:2" x14ac:dyDescent="0.25">
      <c r="B158" t="s">
        <v>653</v>
      </c>
    </row>
    <row r="159" spans="2:2" x14ac:dyDescent="0.25">
      <c r="B159" t="s">
        <v>653</v>
      </c>
    </row>
    <row r="160" spans="2:2" x14ac:dyDescent="0.25">
      <c r="B160" t="s">
        <v>682</v>
      </c>
    </row>
    <row r="161" spans="2:2" x14ac:dyDescent="0.25">
      <c r="B161" t="s">
        <v>653</v>
      </c>
    </row>
    <row r="162" spans="2:2" x14ac:dyDescent="0.25">
      <c r="B162" t="s">
        <v>653</v>
      </c>
    </row>
    <row r="163" spans="2:2" x14ac:dyDescent="0.25">
      <c r="B163" t="s">
        <v>653</v>
      </c>
    </row>
    <row r="164" spans="2:2" x14ac:dyDescent="0.25">
      <c r="B164" t="s">
        <v>653</v>
      </c>
    </row>
    <row r="165" spans="2:2" x14ac:dyDescent="0.25">
      <c r="B165" t="s">
        <v>683</v>
      </c>
    </row>
    <row r="166" spans="2:2" x14ac:dyDescent="0.25">
      <c r="B166" t="s">
        <v>653</v>
      </c>
    </row>
    <row r="167" spans="2:2" x14ac:dyDescent="0.25">
      <c r="B167" t="s">
        <v>653</v>
      </c>
    </row>
    <row r="168" spans="2:2" x14ac:dyDescent="0.25">
      <c r="B168" t="s">
        <v>653</v>
      </c>
    </row>
    <row r="169" spans="2:2" x14ac:dyDescent="0.25">
      <c r="B169" t="s">
        <v>653</v>
      </c>
    </row>
    <row r="170" spans="2:2" x14ac:dyDescent="0.25">
      <c r="B170" t="s">
        <v>684</v>
      </c>
    </row>
    <row r="171" spans="2:2" x14ac:dyDescent="0.25">
      <c r="B171" t="s">
        <v>653</v>
      </c>
    </row>
    <row r="172" spans="2:2" x14ac:dyDescent="0.25">
      <c r="B172" t="s">
        <v>685</v>
      </c>
    </row>
    <row r="173" spans="2:2" x14ac:dyDescent="0.25">
      <c r="B173" t="s">
        <v>653</v>
      </c>
    </row>
  </sheetData>
  <mergeCells count="6">
    <mergeCell ref="F17:J17"/>
    <mergeCell ref="F18:J18"/>
    <mergeCell ref="C20:D20"/>
    <mergeCell ref="E20:F20"/>
    <mergeCell ref="G20:H20"/>
    <mergeCell ref="I20:J20"/>
  </mergeCells>
  <pageMargins left="0.7" right="0.7" top="0.75" bottom="0.75" header="0.3" footer="0.3"/>
  <pageSetup paperSize="9" orientation="portrait" horizontalDpi="0" verticalDpi="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zoomScale="85" zoomScaleSheetLayoutView="100" workbookViewId="0">
      <selection activeCell="F10" sqref="F10"/>
    </sheetView>
  </sheetViews>
  <sheetFormatPr defaultColWidth="9" defaultRowHeight="15" x14ac:dyDescent="0.25"/>
  <cols>
    <col min="1" max="1" width="6.28515625" customWidth="1"/>
    <col min="2" max="2" width="5" style="4" customWidth="1"/>
    <col min="3" max="3" width="28.5703125" style="4" customWidth="1"/>
    <col min="4" max="4" width="20.85546875" style="4" customWidth="1"/>
    <col min="5" max="5" width="42" style="4" customWidth="1"/>
    <col min="6" max="6" width="41.140625" style="4" customWidth="1"/>
    <col min="7" max="8" width="17.140625" customWidth="1"/>
    <col min="10" max="10" width="12" customWidth="1"/>
    <col min="12" max="12" width="11.7109375" bestFit="1" customWidth="1"/>
  </cols>
  <sheetData>
    <row r="1" spans="1:7" x14ac:dyDescent="0.25">
      <c r="A1" s="5" t="s">
        <v>133</v>
      </c>
      <c r="B1" s="6" t="s">
        <v>437</v>
      </c>
      <c r="C1" s="7" t="s">
        <v>438</v>
      </c>
      <c r="D1" s="7" t="s">
        <v>686</v>
      </c>
      <c r="E1" s="7" t="s">
        <v>54</v>
      </c>
      <c r="F1" s="7" t="s">
        <v>687</v>
      </c>
    </row>
    <row r="2" spans="1:7" ht="15.75" x14ac:dyDescent="0.25">
      <c r="A2" s="8">
        <v>2</v>
      </c>
      <c r="C2" s="623" t="str">
        <f>"PASIŪLYMO DĖL "&amp;UPPER('1_punktas'!D13)&amp;" INTEGRUOTOS TERITORIJŲ VYSTYMO PROGRAMOS KEITIMO ĮVERTINIMAS"</f>
        <v>PASIŪLYMO DĖL – INTEGRUOTOS TERITORIJŲ VYSTYMO PROGRAMOS KEITIMO ĮVERTINIMAS</v>
      </c>
      <c r="D2" s="623"/>
      <c r="E2" s="623"/>
      <c r="F2" s="623"/>
      <c r="G2" s="9"/>
    </row>
    <row r="3" spans="1:7" x14ac:dyDescent="0.25">
      <c r="A3" s="8">
        <v>3</v>
      </c>
      <c r="D3" s="10"/>
      <c r="E3" s="10"/>
      <c r="F3" s="11"/>
      <c r="G3" s="9"/>
    </row>
    <row r="4" spans="1:7" x14ac:dyDescent="0.25">
      <c r="A4" s="8">
        <v>71</v>
      </c>
    </row>
    <row r="5" spans="1:7" x14ac:dyDescent="0.25">
      <c r="A5" s="8">
        <v>72</v>
      </c>
    </row>
    <row r="16" spans="1:7" x14ac:dyDescent="0.25">
      <c r="C16" s="4" t="s">
        <v>688</v>
      </c>
    </row>
    <row r="17" spans="3:3" x14ac:dyDescent="0.25">
      <c r="C17" s="4" t="s">
        <v>689</v>
      </c>
    </row>
    <row r="18" spans="3:3" x14ac:dyDescent="0.25">
      <c r="C18" s="12" t="s">
        <v>690</v>
      </c>
    </row>
    <row r="19" spans="3:3" x14ac:dyDescent="0.25">
      <c r="C19" s="12" t="s">
        <v>691</v>
      </c>
    </row>
    <row r="20" spans="3:3" x14ac:dyDescent="0.25">
      <c r="C20" s="12" t="s">
        <v>692</v>
      </c>
    </row>
  </sheetData>
  <mergeCells count="1">
    <mergeCell ref="C2:F2"/>
  </mergeCells>
  <pageMargins left="0.7" right="0.7" top="0.75" bottom="0.75" header="0.3" footer="0.3"/>
  <pageSetup paperSize="9" orientation="portrait" horizontalDpi="0" verticalDpi="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3"/>
  <sheetViews>
    <sheetView zoomScaleSheetLayoutView="100" workbookViewId="0">
      <selection activeCell="B19" sqref="B19"/>
    </sheetView>
  </sheetViews>
  <sheetFormatPr defaultColWidth="9.140625" defaultRowHeight="15" x14ac:dyDescent="0.25"/>
  <cols>
    <col min="2" max="2" width="44" customWidth="1"/>
  </cols>
  <sheetData>
    <row r="2" spans="1:9" x14ac:dyDescent="0.25">
      <c r="A2">
        <v>1</v>
      </c>
      <c r="B2" t="s">
        <v>693</v>
      </c>
      <c r="C2" t="b">
        <f>'RPD tikrinimas'!K94</f>
        <v>0</v>
      </c>
      <c r="I2" t="str">
        <f t="shared" ref="I2:I6" si="0">IF(C2,A2,"")</f>
        <v/>
      </c>
    </row>
    <row r="3" spans="1:9" x14ac:dyDescent="0.25">
      <c r="A3">
        <v>2</v>
      </c>
      <c r="B3" t="s">
        <v>694</v>
      </c>
      <c r="C3" t="b">
        <f>'RPD tikrinimas'!P90</f>
        <v>0</v>
      </c>
      <c r="I3" t="str">
        <f t="shared" si="0"/>
        <v/>
      </c>
    </row>
    <row r="4" spans="1:9" x14ac:dyDescent="0.25">
      <c r="A4">
        <v>3</v>
      </c>
      <c r="B4" t="s">
        <v>695</v>
      </c>
      <c r="C4" t="b">
        <f>AND('RPD tikrinimas'!K95,NOT(C3))</f>
        <v>0</v>
      </c>
      <c r="I4" t="str">
        <f t="shared" si="0"/>
        <v/>
      </c>
    </row>
    <row r="5" spans="1:9" x14ac:dyDescent="0.25">
      <c r="A5">
        <v>4</v>
      </c>
      <c r="B5" t="s">
        <v>696</v>
      </c>
      <c r="C5" t="b">
        <f>AND(OR('RPD tikrinimas'!K95,E5),NOT(C3))</f>
        <v>0</v>
      </c>
      <c r="E5" t="b">
        <f>IFERROR(IF(FIND("derinti",'RPD tikrinimas'!D49,1)&gt;0,TRUE,FALSE),FALSE)</f>
        <v>0</v>
      </c>
      <c r="F5" t="s">
        <v>121</v>
      </c>
      <c r="G5" s="3" t="s">
        <v>121</v>
      </c>
      <c r="H5" s="3" t="s">
        <v>120</v>
      </c>
      <c r="I5" t="str">
        <f t="shared" si="0"/>
        <v/>
      </c>
    </row>
    <row r="6" spans="1:9" x14ac:dyDescent="0.25">
      <c r="A6">
        <v>5</v>
      </c>
      <c r="B6" t="s">
        <v>697</v>
      </c>
      <c r="C6" t="b">
        <f>IF(MOD(F6+G6,2)=1,TRUE,FALSE)</f>
        <v>1</v>
      </c>
      <c r="D6" t="b">
        <f>IFERROR(FIND("RSP",'RPD ivedimas'!D17,1),FALSE)</f>
        <v>0</v>
      </c>
      <c r="E6">
        <f>IFERROR(FIND("RSP",'1_punktas'!D69,1),FALSE)</f>
        <v>1</v>
      </c>
      <c r="F6" t="b">
        <f>OR('1_punktas'!K30,'1_punktas'!K33)</f>
        <v>1</v>
      </c>
      <c r="G6" t="b">
        <f>IF(D6&lt;&gt;FALSE,TRUE,FALSE)</f>
        <v>0</v>
      </c>
      <c r="H6" t="b">
        <f>IF(E6&lt;&gt;FALSE,TRUE,FALSE)</f>
        <v>1</v>
      </c>
      <c r="I6">
        <f t="shared" si="0"/>
        <v>5</v>
      </c>
    </row>
    <row r="8" spans="1:9" x14ac:dyDescent="0.25">
      <c r="B8" t="s">
        <v>698</v>
      </c>
    </row>
    <row r="9" spans="1:9" x14ac:dyDescent="0.25">
      <c r="B9" t="str">
        <f>"Parengti ITVP tikslo pakeitimus (Integruotų teritorijų vystymo programų rengimo ir įgyvendinimo gairių 2 priedas)"</f>
        <v>Parengti ITVP tikslo pakeitimus (Integruotų teritorijų vystymo programų rengimo ir įgyvendinimo gairių 2 priedas)</v>
      </c>
    </row>
    <row r="10" spans="1:9" x14ac:dyDescent="0.25">
      <c r="B10" t="s">
        <v>699</v>
      </c>
    </row>
    <row r="11" spans="1:9" x14ac:dyDescent="0.25">
      <c r="B11" t="s">
        <v>700</v>
      </c>
    </row>
    <row r="12" spans="1:9" x14ac:dyDescent="0.25">
      <c r="B12" t="s">
        <v>701</v>
      </c>
    </row>
    <row r="13" spans="1:9" x14ac:dyDescent="0.25">
      <c r="B13" t="s">
        <v>696</v>
      </c>
    </row>
  </sheetData>
  <pageMargins left="0.75" right="0.75" top="1" bottom="1" header="0.51" footer="0.51"/>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zoomScaleSheetLayoutView="100" workbookViewId="0">
      <selection activeCell="B3" sqref="B3"/>
    </sheetView>
  </sheetViews>
  <sheetFormatPr defaultColWidth="9" defaultRowHeight="15" x14ac:dyDescent="0.25"/>
  <cols>
    <col min="2" max="2" width="24.140625" customWidth="1"/>
    <col min="3" max="11" width="17.140625" customWidth="1"/>
    <col min="12" max="12" width="18.85546875" customWidth="1"/>
  </cols>
  <sheetData>
    <row r="1" spans="1:12" x14ac:dyDescent="0.25">
      <c r="B1">
        <f>MATCH('1_punktas'!$J$66,savivaldybės!C1:L1,0)</f>
        <v>10</v>
      </c>
      <c r="C1" t="s">
        <v>702</v>
      </c>
      <c r="D1" t="s">
        <v>703</v>
      </c>
      <c r="E1" t="s">
        <v>704</v>
      </c>
      <c r="F1" t="s">
        <v>705</v>
      </c>
      <c r="G1" t="s">
        <v>706</v>
      </c>
      <c r="H1" t="s">
        <v>707</v>
      </c>
      <c r="I1" t="s">
        <v>708</v>
      </c>
      <c r="J1" t="s">
        <v>709</v>
      </c>
      <c r="K1" t="s">
        <v>710</v>
      </c>
      <c r="L1" t="s">
        <v>711</v>
      </c>
    </row>
    <row r="2" spans="1:12" x14ac:dyDescent="0.25">
      <c r="A2">
        <f>IF(LEN(B2)&gt;1,ROW(B2),"")</f>
        <v>2</v>
      </c>
      <c r="B2" t="str">
        <f>IFERROR(INDEX($C$1:$L$11,ROW(C2),$B$1),"Nepasirinktas regionas")</f>
        <v>Vilniaus regionas</v>
      </c>
      <c r="C2" t="s">
        <v>712</v>
      </c>
      <c r="D2" t="s">
        <v>107</v>
      </c>
      <c r="E2" t="s">
        <v>713</v>
      </c>
      <c r="F2" t="s">
        <v>714</v>
      </c>
      <c r="G2" t="s">
        <v>715</v>
      </c>
      <c r="H2" t="s">
        <v>716</v>
      </c>
      <c r="I2" t="s">
        <v>717</v>
      </c>
      <c r="J2" t="s">
        <v>718</v>
      </c>
      <c r="K2" t="s">
        <v>719</v>
      </c>
      <c r="L2" t="s">
        <v>720</v>
      </c>
    </row>
    <row r="3" spans="1:12" x14ac:dyDescent="0.25">
      <c r="A3">
        <f t="shared" ref="A3:A11" si="0">IF(LEN(B3)&gt;1,ROW(B3),"")</f>
        <v>3</v>
      </c>
      <c r="B3" t="str">
        <f t="shared" ref="B3:B11" si="1">INDEX($C$1:$L$11,ROW(C3),$B$1)</f>
        <v>Elektrėnų sav.</v>
      </c>
      <c r="C3" t="s">
        <v>721</v>
      </c>
      <c r="D3" t="s">
        <v>722</v>
      </c>
      <c r="E3" t="s">
        <v>723</v>
      </c>
      <c r="F3" t="s">
        <v>724</v>
      </c>
      <c r="G3" t="s">
        <v>725</v>
      </c>
      <c r="H3" t="s">
        <v>726</v>
      </c>
      <c r="I3" t="s">
        <v>727</v>
      </c>
      <c r="J3" t="s">
        <v>728</v>
      </c>
      <c r="K3" t="s">
        <v>729</v>
      </c>
      <c r="L3" t="s">
        <v>730</v>
      </c>
    </row>
    <row r="4" spans="1:12" x14ac:dyDescent="0.25">
      <c r="A4">
        <f t="shared" si="0"/>
        <v>4</v>
      </c>
      <c r="B4" t="str">
        <f t="shared" si="1"/>
        <v>Šalčininkų r. sav.</v>
      </c>
      <c r="C4" t="s">
        <v>731</v>
      </c>
      <c r="D4" t="s">
        <v>37</v>
      </c>
      <c r="E4" t="s">
        <v>732</v>
      </c>
      <c r="F4" t="s">
        <v>733</v>
      </c>
      <c r="G4" t="s">
        <v>734</v>
      </c>
      <c r="H4" t="s">
        <v>735</v>
      </c>
      <c r="I4" t="s">
        <v>736</v>
      </c>
      <c r="J4" t="s">
        <v>737</v>
      </c>
      <c r="K4" t="s">
        <v>738</v>
      </c>
      <c r="L4" t="s">
        <v>739</v>
      </c>
    </row>
    <row r="5" spans="1:12" x14ac:dyDescent="0.25">
      <c r="A5">
        <f t="shared" si="0"/>
        <v>5</v>
      </c>
      <c r="B5" t="str">
        <f t="shared" si="1"/>
        <v>Širvintų r. sav.</v>
      </c>
      <c r="C5" t="s">
        <v>740</v>
      </c>
      <c r="D5" t="s">
        <v>741</v>
      </c>
      <c r="E5" t="s">
        <v>742</v>
      </c>
      <c r="F5" t="s">
        <v>743</v>
      </c>
      <c r="G5" t="s">
        <v>744</v>
      </c>
      <c r="H5" t="s">
        <v>745</v>
      </c>
      <c r="I5" t="s">
        <v>746</v>
      </c>
      <c r="J5" t="s">
        <v>747</v>
      </c>
      <c r="K5" t="s">
        <v>748</v>
      </c>
      <c r="L5" t="s">
        <v>749</v>
      </c>
    </row>
    <row r="6" spans="1:12" x14ac:dyDescent="0.25">
      <c r="A6">
        <f t="shared" si="0"/>
        <v>6</v>
      </c>
      <c r="B6" t="str">
        <f t="shared" si="1"/>
        <v>Švenčionių r. sav.</v>
      </c>
      <c r="C6" t="s">
        <v>750</v>
      </c>
      <c r="D6" t="s">
        <v>751</v>
      </c>
      <c r="E6" t="s">
        <v>752</v>
      </c>
      <c r="F6" t="s">
        <v>753</v>
      </c>
      <c r="G6" t="s">
        <v>754</v>
      </c>
      <c r="H6" t="s">
        <v>755</v>
      </c>
      <c r="I6" t="s">
        <v>756</v>
      </c>
      <c r="J6" t="s">
        <v>757</v>
      </c>
      <c r="K6" t="s">
        <v>758</v>
      </c>
      <c r="L6" t="s">
        <v>759</v>
      </c>
    </row>
    <row r="7" spans="1:12" x14ac:dyDescent="0.25">
      <c r="A7">
        <f t="shared" si="0"/>
        <v>7</v>
      </c>
      <c r="B7" t="str">
        <f t="shared" si="1"/>
        <v>Trakų r. sav.</v>
      </c>
      <c r="C7" t="s">
        <v>760</v>
      </c>
      <c r="D7" t="s">
        <v>761</v>
      </c>
      <c r="E7" t="s">
        <v>762</v>
      </c>
      <c r="F7" t="s">
        <v>763</v>
      </c>
      <c r="G7" t="s">
        <v>764</v>
      </c>
      <c r="H7" t="s">
        <v>765</v>
      </c>
      <c r="I7" t="str">
        <f>IF(ISBLANK('1_punktas'!E66),"kelios savivaldybės (įrašykite E stulpelyje ir pasirinkite)",'1_punktas'!E66)</f>
        <v>kelios savivaldybės (įrašykite E stulpelyje ir pasirinkite)</v>
      </c>
      <c r="J7" t="str">
        <f>IF(ISBLANK('1_punktas'!E66),"kelios savivaldybės (įrašykite E stulpelyje ir pasirinkite)",'1_punktas'!E66)</f>
        <v>kelios savivaldybės (įrašykite E stulpelyje ir pasirinkite)</v>
      </c>
      <c r="K7" t="s">
        <v>766</v>
      </c>
      <c r="L7" t="s">
        <v>767</v>
      </c>
    </row>
    <row r="8" spans="1:12" x14ac:dyDescent="0.25">
      <c r="A8">
        <f t="shared" si="0"/>
        <v>8</v>
      </c>
      <c r="B8" t="str">
        <f t="shared" si="1"/>
        <v>Ukmergės r. sav.</v>
      </c>
      <c r="C8" t="str">
        <f>IF(ISBLANK('1_punktas'!E66),"kelios savivaldybės (įrašykite E stulpelyje ir pasirinkite)",'1_punktas'!E66)</f>
        <v>kelios savivaldybės (įrašykite E stulpelyje ir pasirinkite)</v>
      </c>
      <c r="D8" t="s">
        <v>768</v>
      </c>
      <c r="E8" t="s">
        <v>769</v>
      </c>
      <c r="F8" t="str">
        <f>IF(ISBLANK('1_punktas'!E66),"kelios savivaldybės (įrašykite E stulpelyje ir pasirinkite)",'1_punktas'!E66)</f>
        <v>kelios savivaldybės (įrašykite E stulpelyje ir pasirinkite)</v>
      </c>
      <c r="G8" t="s">
        <v>770</v>
      </c>
      <c r="H8" t="s">
        <v>771</v>
      </c>
      <c r="K8" t="s">
        <v>772</v>
      </c>
      <c r="L8" t="s">
        <v>773</v>
      </c>
    </row>
    <row r="9" spans="1:12" x14ac:dyDescent="0.25">
      <c r="A9">
        <f t="shared" si="0"/>
        <v>9</v>
      </c>
      <c r="B9" t="str">
        <f t="shared" si="1"/>
        <v>Vilniaus m. sav.</v>
      </c>
      <c r="D9" t="s">
        <v>774</v>
      </c>
      <c r="E9" t="s">
        <v>775</v>
      </c>
      <c r="G9" t="str">
        <f>IF(ISBLANK('1_punktas'!E66),"kelios savivaldybės (įrašykite E stulpelyje ir pasirinkite)",'1_punktas'!E66)</f>
        <v>kelios savivaldybės (įrašykite E stulpelyje ir pasirinkite)</v>
      </c>
      <c r="H9" t="s">
        <v>776</v>
      </c>
      <c r="K9" t="str">
        <f>IF(ISBLANK('1_punktas'!E66),"kelios savivaldybės (įrašykite E stulpelyje ir pasirinkite)",'1_punktas'!E66)</f>
        <v>kelios savivaldybės (įrašykite E stulpelyje ir pasirinkite)</v>
      </c>
      <c r="L9" t="s">
        <v>777</v>
      </c>
    </row>
    <row r="10" spans="1:12" x14ac:dyDescent="0.25">
      <c r="A10">
        <f t="shared" si="0"/>
        <v>10</v>
      </c>
      <c r="B10" t="str">
        <f t="shared" si="1"/>
        <v>Vilniaus r. sav.</v>
      </c>
      <c r="D10" t="s">
        <v>778</v>
      </c>
      <c r="E10" t="str">
        <f>IF(ISBLANK('1_punktas'!E66),"kelios savivaldybės (įrašykite E stulpelyje ir pasirinkite)",'1_punktas'!E66)</f>
        <v>kelios savivaldybės (įrašykite E stulpelyje ir pasirinkite)</v>
      </c>
      <c r="H10" t="str">
        <f>IF(ISBLANK('1_punktas'!E66),"kelios savivaldybės (įrašykite E stulpelyje ir pasirinkite)",'1_punktas'!E66)</f>
        <v>kelios savivaldybės (įrašykite E stulpelyje ir pasirinkite)</v>
      </c>
      <c r="L10" t="s">
        <v>779</v>
      </c>
    </row>
    <row r="11" spans="1:12" x14ac:dyDescent="0.25">
      <c r="A11">
        <f t="shared" si="0"/>
        <v>11</v>
      </c>
      <c r="B11" t="str">
        <f t="shared" si="1"/>
        <v>kelios savivaldybės (įrašykite E stulpelyje ir pasirinkite)</v>
      </c>
      <c r="D11" t="str">
        <f>IF(ISBLANK('1_punktas'!E66),"kelios savivaldybės (įrašykite E stulpelyje ir pasirinkite)",'1_punktas'!E66)</f>
        <v>kelios savivaldybės (įrašykite E stulpelyje ir pasirinkite)</v>
      </c>
      <c r="L11" t="str">
        <f>IF(ISBLANK('1_punktas'!E66),"kelios savivaldybės (įrašykite E stulpelyje ir pasirinkite)",'1_punktas'!E66)</f>
        <v>kelios savivaldybės (įrašykite E stulpelyje ir pasirinkite)</v>
      </c>
    </row>
    <row r="12" spans="1:12" x14ac:dyDescent="0.25">
      <c r="E12" t="str">
        <f>IF('RPD ivedimas'!E14&lt;&gt;0,'RPD ivedimas'!E14,"")</f>
        <v/>
      </c>
    </row>
    <row r="14" spans="1:12" x14ac:dyDescent="0.25">
      <c r="B14" t="s">
        <v>925</v>
      </c>
    </row>
    <row r="16" spans="1:12" x14ac:dyDescent="0.25">
      <c r="D16" t="s">
        <v>926</v>
      </c>
    </row>
    <row r="18" spans="2:2" x14ac:dyDescent="0.25">
      <c r="B18" t="s">
        <v>927</v>
      </c>
    </row>
  </sheetData>
  <dataValidations count="1">
    <dataValidation type="list" allowBlank="1" showInputMessage="1" showErrorMessage="1" sqref="B18">
      <formula1>savivaldybes</formula1>
    </dataValidation>
  </dataValidation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4"/>
  <sheetViews>
    <sheetView topLeftCell="E25" zoomScaleSheetLayoutView="100" workbookViewId="0">
      <selection activeCell="H4" sqref="H4"/>
    </sheetView>
  </sheetViews>
  <sheetFormatPr defaultColWidth="9" defaultRowHeight="15" x14ac:dyDescent="0.25"/>
  <cols>
    <col min="1" max="1" width="22.28515625" customWidth="1"/>
    <col min="2" max="2" width="30" customWidth="1"/>
    <col min="4" max="4" width="33.42578125" customWidth="1"/>
    <col min="5" max="5" width="21.5703125" customWidth="1"/>
    <col min="6" max="6" width="32.42578125" customWidth="1"/>
    <col min="7" max="7" width="21.5703125" customWidth="1"/>
    <col min="8" max="8" width="33" customWidth="1"/>
    <col min="9" max="12" width="21.5703125" customWidth="1"/>
    <col min="14" max="14" width="14" customWidth="1"/>
  </cols>
  <sheetData>
    <row r="1" spans="1:15" x14ac:dyDescent="0.25">
      <c r="A1" t="s">
        <v>213</v>
      </c>
      <c r="B1" t="s">
        <v>780</v>
      </c>
      <c r="C1" t="s">
        <v>105</v>
      </c>
      <c r="D1" t="s">
        <v>781</v>
      </c>
      <c r="E1" t="s">
        <v>495</v>
      </c>
      <c r="F1" t="s">
        <v>781</v>
      </c>
      <c r="G1" t="s">
        <v>495</v>
      </c>
      <c r="H1" t="s">
        <v>781</v>
      </c>
      <c r="I1" t="s">
        <v>495</v>
      </c>
      <c r="J1" t="s">
        <v>781</v>
      </c>
      <c r="K1" t="s">
        <v>495</v>
      </c>
      <c r="L1" t="s">
        <v>781</v>
      </c>
      <c r="M1" t="s">
        <v>495</v>
      </c>
      <c r="N1" t="s">
        <v>781</v>
      </c>
      <c r="O1" t="s">
        <v>495</v>
      </c>
    </row>
    <row r="2" spans="1:15" s="1" customFormat="1" x14ac:dyDescent="0.25">
      <c r="A2" s="1" t="s">
        <v>215</v>
      </c>
      <c r="B2" s="1" t="s">
        <v>216</v>
      </c>
      <c r="C2" s="1" t="s">
        <v>428</v>
      </c>
      <c r="D2" s="1" t="s">
        <v>782</v>
      </c>
      <c r="E2" s="1" t="s">
        <v>783</v>
      </c>
      <c r="F2" s="1" t="s">
        <v>784</v>
      </c>
      <c r="G2" s="1" t="s">
        <v>785</v>
      </c>
    </row>
    <row r="3" spans="1:15" s="1" customFormat="1" x14ac:dyDescent="0.25">
      <c r="A3" s="1" t="s">
        <v>219</v>
      </c>
      <c r="B3" s="1" t="s">
        <v>220</v>
      </c>
      <c r="C3" s="1" t="s">
        <v>428</v>
      </c>
      <c r="D3" s="1" t="s">
        <v>786</v>
      </c>
      <c r="E3" s="1" t="s">
        <v>787</v>
      </c>
    </row>
    <row r="4" spans="1:15" s="1" customFormat="1" x14ac:dyDescent="0.25">
      <c r="A4" s="1" t="s">
        <v>224</v>
      </c>
      <c r="B4" s="1" t="s">
        <v>225</v>
      </c>
      <c r="C4" s="1" t="s">
        <v>428</v>
      </c>
      <c r="D4" s="1" t="s">
        <v>788</v>
      </c>
      <c r="E4" s="1" t="s">
        <v>789</v>
      </c>
      <c r="F4" s="1" t="s">
        <v>790</v>
      </c>
      <c r="G4" s="1" t="s">
        <v>791</v>
      </c>
      <c r="H4" s="1" t="s">
        <v>792</v>
      </c>
      <c r="I4" s="1" t="s">
        <v>793</v>
      </c>
      <c r="J4" s="1" t="s">
        <v>794</v>
      </c>
      <c r="K4" s="1" t="s">
        <v>795</v>
      </c>
      <c r="L4" s="1" t="s">
        <v>796</v>
      </c>
      <c r="M4" s="1" t="s">
        <v>797</v>
      </c>
      <c r="N4" s="1" t="s">
        <v>798</v>
      </c>
      <c r="O4" s="1" t="s">
        <v>799</v>
      </c>
    </row>
    <row r="5" spans="1:15" s="1" customFormat="1" x14ac:dyDescent="0.25">
      <c r="A5" s="1" t="s">
        <v>228</v>
      </c>
      <c r="B5" s="1" t="s">
        <v>229</v>
      </c>
      <c r="C5" s="1" t="s">
        <v>428</v>
      </c>
      <c r="D5" s="1" t="s">
        <v>800</v>
      </c>
      <c r="E5" s="1" t="s">
        <v>801</v>
      </c>
      <c r="F5" s="1" t="s">
        <v>802</v>
      </c>
      <c r="G5" s="1" t="s">
        <v>803</v>
      </c>
      <c r="H5" s="1" t="s">
        <v>804</v>
      </c>
      <c r="I5" s="1" t="s">
        <v>805</v>
      </c>
      <c r="J5" s="1" t="s">
        <v>806</v>
      </c>
      <c r="K5" s="1" t="s">
        <v>807</v>
      </c>
    </row>
    <row r="6" spans="1:15" s="1" customFormat="1" x14ac:dyDescent="0.25">
      <c r="A6" s="1" t="s">
        <v>232</v>
      </c>
      <c r="B6" s="1" t="s">
        <v>233</v>
      </c>
      <c r="C6" s="1" t="s">
        <v>428</v>
      </c>
      <c r="D6" s="1" t="s">
        <v>808</v>
      </c>
      <c r="E6" s="1" t="s">
        <v>801</v>
      </c>
      <c r="F6" s="1" t="s">
        <v>809</v>
      </c>
      <c r="G6" s="1" t="s">
        <v>810</v>
      </c>
    </row>
    <row r="7" spans="1:15" s="1" customFormat="1" x14ac:dyDescent="0.25">
      <c r="A7" s="1" t="s">
        <v>236</v>
      </c>
      <c r="B7" s="1" t="s">
        <v>237</v>
      </c>
      <c r="C7" s="1" t="s">
        <v>428</v>
      </c>
      <c r="D7" s="1" t="s">
        <v>811</v>
      </c>
      <c r="E7" s="1" t="s">
        <v>812</v>
      </c>
      <c r="F7" s="1" t="s">
        <v>813</v>
      </c>
      <c r="G7" s="1" t="s">
        <v>814</v>
      </c>
      <c r="H7" s="1" t="s">
        <v>815</v>
      </c>
      <c r="I7" s="1" t="s">
        <v>816</v>
      </c>
      <c r="J7" s="1" t="s">
        <v>817</v>
      </c>
      <c r="K7" s="1" t="s">
        <v>818</v>
      </c>
    </row>
    <row r="8" spans="1:15" s="1" customFormat="1" x14ac:dyDescent="0.25">
      <c r="A8" s="1" t="s">
        <v>240</v>
      </c>
      <c r="B8" s="1" t="s">
        <v>241</v>
      </c>
      <c r="C8" s="1" t="s">
        <v>428</v>
      </c>
      <c r="D8" s="1" t="s">
        <v>819</v>
      </c>
      <c r="E8" s="1" t="s">
        <v>820</v>
      </c>
      <c r="F8" s="1" t="s">
        <v>821</v>
      </c>
      <c r="G8" s="1" t="s">
        <v>822</v>
      </c>
      <c r="H8" s="1" t="s">
        <v>823</v>
      </c>
      <c r="I8" s="1" t="s">
        <v>824</v>
      </c>
    </row>
    <row r="9" spans="1:15" x14ac:dyDescent="0.25">
      <c r="A9" t="s">
        <v>40</v>
      </c>
    </row>
    <row r="10" spans="1:15" s="1" customFormat="1" x14ac:dyDescent="0.25">
      <c r="A10" s="1" t="s">
        <v>257</v>
      </c>
      <c r="B10" s="1" t="s">
        <v>258</v>
      </c>
      <c r="C10" s="1" t="s">
        <v>430</v>
      </c>
      <c r="D10" s="1" t="s">
        <v>800</v>
      </c>
      <c r="E10" s="1" t="s">
        <v>801</v>
      </c>
      <c r="F10" s="1" t="s">
        <v>802</v>
      </c>
      <c r="G10" s="1" t="s">
        <v>803</v>
      </c>
    </row>
    <row r="11" spans="1:15" s="1" customFormat="1" x14ac:dyDescent="0.25">
      <c r="A11" s="1" t="s">
        <v>261</v>
      </c>
      <c r="B11" s="1" t="s">
        <v>262</v>
      </c>
      <c r="C11" s="1" t="s">
        <v>430</v>
      </c>
      <c r="D11" s="1" t="s">
        <v>800</v>
      </c>
      <c r="E11" s="1" t="s">
        <v>801</v>
      </c>
      <c r="F11" s="1" t="s">
        <v>802</v>
      </c>
      <c r="G11" s="1" t="s">
        <v>803</v>
      </c>
    </row>
    <row r="12" spans="1:15" s="1" customFormat="1" x14ac:dyDescent="0.25">
      <c r="A12" s="1" t="s">
        <v>265</v>
      </c>
      <c r="B12" s="1" t="s">
        <v>266</v>
      </c>
      <c r="C12" s="1" t="s">
        <v>430</v>
      </c>
      <c r="D12" s="1" t="s">
        <v>825</v>
      </c>
      <c r="E12" s="1" t="s">
        <v>826</v>
      </c>
    </row>
    <row r="13" spans="1:15" x14ac:dyDescent="0.25">
      <c r="A13" s="1" t="s">
        <v>269</v>
      </c>
      <c r="B13" s="1" t="s">
        <v>270</v>
      </c>
      <c r="C13" s="1" t="s">
        <v>430</v>
      </c>
      <c r="D13" s="1" t="s">
        <v>825</v>
      </c>
      <c r="E13" s="1" t="s">
        <v>826</v>
      </c>
    </row>
    <row r="14" spans="1:15" x14ac:dyDescent="0.25">
      <c r="A14" s="1" t="s">
        <v>273</v>
      </c>
      <c r="B14" s="1" t="s">
        <v>274</v>
      </c>
      <c r="C14" s="1" t="s">
        <v>430</v>
      </c>
      <c r="D14" s="1" t="s">
        <v>825</v>
      </c>
      <c r="E14" s="1" t="s">
        <v>826</v>
      </c>
    </row>
    <row r="15" spans="1:15" x14ac:dyDescent="0.25">
      <c r="A15" t="s">
        <v>40</v>
      </c>
    </row>
    <row r="16" spans="1:15" s="1" customFormat="1" x14ac:dyDescent="0.25">
      <c r="A16" s="1" t="s">
        <v>282</v>
      </c>
      <c r="B16" s="1" t="s">
        <v>283</v>
      </c>
      <c r="C16" s="1" t="s">
        <v>431</v>
      </c>
      <c r="D16" s="1" t="s">
        <v>827</v>
      </c>
      <c r="E16" s="1" t="s">
        <v>828</v>
      </c>
    </row>
    <row r="17" spans="1:13" s="1" customFormat="1" x14ac:dyDescent="0.25">
      <c r="A17" s="1" t="s">
        <v>286</v>
      </c>
      <c r="B17" s="1" t="s">
        <v>287</v>
      </c>
      <c r="C17" s="1" t="s">
        <v>431</v>
      </c>
      <c r="D17" s="1" t="s">
        <v>829</v>
      </c>
      <c r="E17" s="1" t="s">
        <v>830</v>
      </c>
    </row>
    <row r="18" spans="1:13" s="1" customFormat="1" x14ac:dyDescent="0.25">
      <c r="A18" s="1" t="s">
        <v>290</v>
      </c>
      <c r="B18" s="1" t="s">
        <v>291</v>
      </c>
      <c r="C18" s="1" t="s">
        <v>431</v>
      </c>
      <c r="D18" s="1" t="s">
        <v>831</v>
      </c>
      <c r="E18" s="1" t="s">
        <v>832</v>
      </c>
    </row>
    <row r="19" spans="1:13" x14ac:dyDescent="0.25">
      <c r="A19" t="s">
        <v>40</v>
      </c>
    </row>
    <row r="20" spans="1:13" s="1" customFormat="1" x14ac:dyDescent="0.25">
      <c r="A20" s="1" t="s">
        <v>299</v>
      </c>
      <c r="B20" s="1" t="s">
        <v>300</v>
      </c>
      <c r="C20" s="1" t="s">
        <v>432</v>
      </c>
      <c r="D20" s="1" t="s">
        <v>833</v>
      </c>
      <c r="E20" s="1" t="s">
        <v>834</v>
      </c>
      <c r="F20" s="1" t="s">
        <v>835</v>
      </c>
      <c r="G20" s="1" t="s">
        <v>836</v>
      </c>
      <c r="H20" s="1" t="s">
        <v>837</v>
      </c>
      <c r="I20" s="1" t="s">
        <v>838</v>
      </c>
      <c r="J20" s="1" t="s">
        <v>839</v>
      </c>
      <c r="K20" s="1" t="s">
        <v>840</v>
      </c>
      <c r="L20" s="1" t="s">
        <v>841</v>
      </c>
      <c r="M20" s="1" t="s">
        <v>842</v>
      </c>
    </row>
    <row r="21" spans="1:13" s="1" customFormat="1" x14ac:dyDescent="0.25">
      <c r="A21" s="1" t="s">
        <v>303</v>
      </c>
      <c r="B21" s="1" t="s">
        <v>304</v>
      </c>
      <c r="C21" s="1" t="s">
        <v>432</v>
      </c>
      <c r="D21" s="1" t="s">
        <v>833</v>
      </c>
      <c r="E21" s="1" t="s">
        <v>834</v>
      </c>
      <c r="F21" s="1" t="s">
        <v>841</v>
      </c>
      <c r="G21" s="1" t="s">
        <v>842</v>
      </c>
    </row>
    <row r="22" spans="1:13" s="1" customFormat="1" x14ac:dyDescent="0.25">
      <c r="A22" s="1" t="s">
        <v>307</v>
      </c>
      <c r="B22" s="1" t="s">
        <v>308</v>
      </c>
      <c r="C22" s="1" t="s">
        <v>432</v>
      </c>
      <c r="D22" s="1" t="s">
        <v>839</v>
      </c>
      <c r="E22" s="1" t="s">
        <v>840</v>
      </c>
      <c r="F22" s="1" t="s">
        <v>843</v>
      </c>
      <c r="G22" s="1" t="s">
        <v>844</v>
      </c>
    </row>
    <row r="23" spans="1:13" s="1" customFormat="1" x14ac:dyDescent="0.25">
      <c r="A23" s="1" t="s">
        <v>311</v>
      </c>
      <c r="B23" s="1" t="s">
        <v>312</v>
      </c>
      <c r="C23" s="1" t="s">
        <v>432</v>
      </c>
      <c r="D23" s="1" t="s">
        <v>835</v>
      </c>
      <c r="E23" s="1" t="s">
        <v>836</v>
      </c>
      <c r="F23" s="1" t="s">
        <v>839</v>
      </c>
      <c r="G23" s="1" t="s">
        <v>840</v>
      </c>
    </row>
    <row r="24" spans="1:13" s="1" customFormat="1" x14ac:dyDescent="0.25">
      <c r="A24" s="1" t="s">
        <v>315</v>
      </c>
      <c r="B24" s="1" t="s">
        <v>316</v>
      </c>
      <c r="C24" s="1" t="s">
        <v>432</v>
      </c>
      <c r="D24" s="1" t="s">
        <v>835</v>
      </c>
      <c r="E24" s="1" t="s">
        <v>836</v>
      </c>
      <c r="F24" s="1" t="s">
        <v>839</v>
      </c>
      <c r="G24" s="1" t="s">
        <v>840</v>
      </c>
      <c r="H24" s="1" t="s">
        <v>841</v>
      </c>
      <c r="I24" s="1" t="s">
        <v>842</v>
      </c>
    </row>
    <row r="25" spans="1:13" s="1" customFormat="1" x14ac:dyDescent="0.25">
      <c r="A25" s="1" t="s">
        <v>319</v>
      </c>
      <c r="B25" s="1" t="s">
        <v>320</v>
      </c>
      <c r="C25" s="1" t="s">
        <v>432</v>
      </c>
      <c r="D25" s="1" t="s">
        <v>835</v>
      </c>
      <c r="E25" s="1" t="s">
        <v>836</v>
      </c>
      <c r="F25" s="1" t="s">
        <v>839</v>
      </c>
      <c r="G25" s="1" t="s">
        <v>840</v>
      </c>
      <c r="H25" s="1" t="s">
        <v>841</v>
      </c>
      <c r="I25" s="1" t="s">
        <v>842</v>
      </c>
    </row>
    <row r="26" spans="1:13" s="1" customFormat="1" x14ac:dyDescent="0.25">
      <c r="A26" s="1" t="s">
        <v>323</v>
      </c>
      <c r="B26" s="1" t="s">
        <v>324</v>
      </c>
      <c r="C26" s="1" t="s">
        <v>432</v>
      </c>
      <c r="D26" s="1" t="s">
        <v>845</v>
      </c>
      <c r="E26" s="1" t="s">
        <v>846</v>
      </c>
    </row>
    <row r="27" spans="1:13" s="1" customFormat="1" x14ac:dyDescent="0.25">
      <c r="A27" s="1" t="s">
        <v>327</v>
      </c>
      <c r="B27" s="1" t="s">
        <v>328</v>
      </c>
      <c r="C27" s="1" t="s">
        <v>432</v>
      </c>
      <c r="D27" s="1" t="s">
        <v>847</v>
      </c>
      <c r="E27" s="1" t="s">
        <v>848</v>
      </c>
      <c r="F27" s="1" t="s">
        <v>849</v>
      </c>
      <c r="G27" s="1" t="s">
        <v>850</v>
      </c>
    </row>
    <row r="28" spans="1:13" s="1" customFormat="1" x14ac:dyDescent="0.25">
      <c r="A28" s="1" t="s">
        <v>331</v>
      </c>
      <c r="B28" s="1" t="s">
        <v>332</v>
      </c>
      <c r="C28" s="1" t="s">
        <v>432</v>
      </c>
      <c r="D28" s="1" t="s">
        <v>851</v>
      </c>
      <c r="E28" s="1" t="s">
        <v>852</v>
      </c>
      <c r="F28" s="1" t="s">
        <v>853</v>
      </c>
      <c r="G28" s="1" t="s">
        <v>854</v>
      </c>
    </row>
    <row r="29" spans="1:13" s="1" customFormat="1" x14ac:dyDescent="0.25">
      <c r="A29" s="1" t="s">
        <v>335</v>
      </c>
      <c r="B29" s="1" t="s">
        <v>336</v>
      </c>
      <c r="C29" s="1" t="s">
        <v>432</v>
      </c>
      <c r="D29" s="1" t="s">
        <v>855</v>
      </c>
      <c r="E29" s="1" t="s">
        <v>856</v>
      </c>
    </row>
    <row r="30" spans="1:13" s="1" customFormat="1" x14ac:dyDescent="0.25">
      <c r="A30" s="1" t="s">
        <v>339</v>
      </c>
      <c r="B30" s="1" t="s">
        <v>340</v>
      </c>
      <c r="C30" s="1" t="s">
        <v>432</v>
      </c>
      <c r="D30" s="1" t="s">
        <v>857</v>
      </c>
      <c r="E30" s="1" t="s">
        <v>856</v>
      </c>
    </row>
    <row r="31" spans="1:13" x14ac:dyDescent="0.25">
      <c r="A31" t="s">
        <v>40</v>
      </c>
    </row>
    <row r="32" spans="1:13" s="1" customFormat="1" x14ac:dyDescent="0.25">
      <c r="A32" s="1" t="s">
        <v>348</v>
      </c>
      <c r="B32" s="1" t="s">
        <v>349</v>
      </c>
      <c r="C32" s="1" t="s">
        <v>433</v>
      </c>
      <c r="D32" s="1" t="s">
        <v>858</v>
      </c>
      <c r="E32" s="1" t="s">
        <v>859</v>
      </c>
      <c r="F32" s="1" t="s">
        <v>860</v>
      </c>
      <c r="G32" s="1" t="s">
        <v>861</v>
      </c>
    </row>
    <row r="33" spans="1:11" s="1" customFormat="1" x14ac:dyDescent="0.25">
      <c r="A33" s="1" t="s">
        <v>352</v>
      </c>
      <c r="B33" s="1" t="s">
        <v>353</v>
      </c>
      <c r="C33" s="1" t="s">
        <v>433</v>
      </c>
      <c r="D33" s="1" t="s">
        <v>862</v>
      </c>
      <c r="E33" s="1" t="s">
        <v>863</v>
      </c>
      <c r="F33" s="1" t="s">
        <v>864</v>
      </c>
      <c r="G33" s="1" t="s">
        <v>865</v>
      </c>
    </row>
    <row r="34" spans="1:11" s="1" customFormat="1" x14ac:dyDescent="0.25">
      <c r="A34" s="1" t="s">
        <v>356</v>
      </c>
      <c r="B34" s="1" t="s">
        <v>357</v>
      </c>
      <c r="C34" s="1" t="s">
        <v>433</v>
      </c>
      <c r="D34" s="1" t="s">
        <v>866</v>
      </c>
      <c r="E34" s="1" t="s">
        <v>867</v>
      </c>
    </row>
    <row r="35" spans="1:11" x14ac:dyDescent="0.25">
      <c r="A35" t="s">
        <v>40</v>
      </c>
    </row>
    <row r="36" spans="1:11" s="1" customFormat="1" x14ac:dyDescent="0.25">
      <c r="A36" s="1" t="s">
        <v>365</v>
      </c>
      <c r="B36" s="1" t="s">
        <v>366</v>
      </c>
      <c r="C36" s="1" t="s">
        <v>434</v>
      </c>
      <c r="D36" s="1" t="s">
        <v>868</v>
      </c>
      <c r="E36" s="1" t="s">
        <v>869</v>
      </c>
      <c r="F36" s="1" t="s">
        <v>870</v>
      </c>
      <c r="G36" s="1" t="s">
        <v>871</v>
      </c>
      <c r="H36" s="1" t="s">
        <v>872</v>
      </c>
      <c r="I36" s="1" t="s">
        <v>873</v>
      </c>
      <c r="J36" s="1" t="s">
        <v>874</v>
      </c>
      <c r="K36" s="1" t="s">
        <v>875</v>
      </c>
    </row>
    <row r="37" spans="1:11" s="1" customFormat="1" x14ac:dyDescent="0.25">
      <c r="A37" s="1" t="s">
        <v>369</v>
      </c>
      <c r="B37" s="1" t="s">
        <v>370</v>
      </c>
      <c r="C37" s="1" t="s">
        <v>434</v>
      </c>
      <c r="D37" s="1" t="s">
        <v>868</v>
      </c>
      <c r="E37" s="1" t="s">
        <v>869</v>
      </c>
      <c r="F37" s="1" t="s">
        <v>876</v>
      </c>
      <c r="G37" s="1" t="s">
        <v>877</v>
      </c>
      <c r="H37" s="1" t="s">
        <v>878</v>
      </c>
      <c r="I37" s="1" t="s">
        <v>879</v>
      </c>
    </row>
    <row r="38" spans="1:11" s="1" customFormat="1" x14ac:dyDescent="0.25">
      <c r="A38" s="1" t="s">
        <v>373</v>
      </c>
      <c r="B38" s="1" t="s">
        <v>374</v>
      </c>
      <c r="C38" s="1" t="s">
        <v>434</v>
      </c>
      <c r="D38" s="1" t="s">
        <v>868</v>
      </c>
      <c r="E38" s="1" t="s">
        <v>869</v>
      </c>
      <c r="F38" s="1" t="s">
        <v>870</v>
      </c>
      <c r="G38" s="1" t="s">
        <v>871</v>
      </c>
      <c r="H38" s="1" t="s">
        <v>880</v>
      </c>
      <c r="I38" s="1" t="s">
        <v>881</v>
      </c>
    </row>
    <row r="39" spans="1:11" s="1" customFormat="1" x14ac:dyDescent="0.25">
      <c r="A39" s="1" t="s">
        <v>377</v>
      </c>
      <c r="B39" s="1" t="s">
        <v>378</v>
      </c>
      <c r="C39" s="1" t="s">
        <v>434</v>
      </c>
      <c r="D39" s="1" t="s">
        <v>868</v>
      </c>
      <c r="E39" s="1" t="s">
        <v>869</v>
      </c>
      <c r="F39" s="1" t="s">
        <v>870</v>
      </c>
      <c r="G39" s="1" t="s">
        <v>871</v>
      </c>
      <c r="H39" s="1" t="s">
        <v>882</v>
      </c>
      <c r="I39" s="1" t="s">
        <v>883</v>
      </c>
    </row>
    <row r="40" spans="1:11" x14ac:dyDescent="0.25">
      <c r="A40" t="s">
        <v>40</v>
      </c>
    </row>
    <row r="41" spans="1:11" s="1" customFormat="1" x14ac:dyDescent="0.25">
      <c r="A41" s="1" t="s">
        <v>386</v>
      </c>
      <c r="B41" s="1" t="s">
        <v>387</v>
      </c>
      <c r="C41" s="1" t="s">
        <v>435</v>
      </c>
      <c r="D41" s="1" t="s">
        <v>884</v>
      </c>
      <c r="E41" s="1" t="s">
        <v>885</v>
      </c>
      <c r="F41" s="1" t="s">
        <v>886</v>
      </c>
      <c r="G41" s="1" t="s">
        <v>887</v>
      </c>
      <c r="H41" s="1" t="s">
        <v>888</v>
      </c>
      <c r="I41" s="1" t="s">
        <v>889</v>
      </c>
      <c r="J41" s="1" t="s">
        <v>890</v>
      </c>
      <c r="K41" s="1" t="s">
        <v>891</v>
      </c>
    </row>
    <row r="42" spans="1:11" s="1" customFormat="1" x14ac:dyDescent="0.25">
      <c r="A42" s="1" t="s">
        <v>390</v>
      </c>
      <c r="B42" s="1" t="s">
        <v>391</v>
      </c>
      <c r="C42" s="1" t="s">
        <v>435</v>
      </c>
      <c r="D42" s="1" t="s">
        <v>892</v>
      </c>
      <c r="E42" s="1" t="s">
        <v>893</v>
      </c>
    </row>
    <row r="43" spans="1:11" x14ac:dyDescent="0.25">
      <c r="A43" t="s">
        <v>40</v>
      </c>
    </row>
    <row r="44" spans="1:11" ht="17.25" x14ac:dyDescent="0.25">
      <c r="A44" t="s">
        <v>399</v>
      </c>
      <c r="B44" t="s">
        <v>894</v>
      </c>
      <c r="C44" t="s">
        <v>36</v>
      </c>
      <c r="D44" t="s">
        <v>895</v>
      </c>
      <c r="E44" t="s">
        <v>896</v>
      </c>
      <c r="F44" t="s">
        <v>897</v>
      </c>
      <c r="G44" t="s">
        <v>898</v>
      </c>
    </row>
    <row r="45" spans="1:11" ht="17.25" x14ac:dyDescent="0.25">
      <c r="A45" t="s">
        <v>402</v>
      </c>
      <c r="B45" t="s">
        <v>899</v>
      </c>
      <c r="C45" t="s">
        <v>36</v>
      </c>
      <c r="D45" t="s">
        <v>895</v>
      </c>
      <c r="E45" t="s">
        <v>896</v>
      </c>
      <c r="F45" t="s">
        <v>897</v>
      </c>
      <c r="G45" t="s">
        <v>898</v>
      </c>
    </row>
    <row r="46" spans="1:11" ht="17.25" x14ac:dyDescent="0.25">
      <c r="A46" t="s">
        <v>405</v>
      </c>
      <c r="B46" t="s">
        <v>900</v>
      </c>
      <c r="C46" t="s">
        <v>36</v>
      </c>
      <c r="D46" t="s">
        <v>895</v>
      </c>
      <c r="E46" t="s">
        <v>896</v>
      </c>
      <c r="F46" t="s">
        <v>897</v>
      </c>
      <c r="G46" t="s">
        <v>898</v>
      </c>
    </row>
    <row r="47" spans="1:11" ht="17.25" x14ac:dyDescent="0.25">
      <c r="A47" t="s">
        <v>408</v>
      </c>
      <c r="B47" t="s">
        <v>901</v>
      </c>
      <c r="C47" t="s">
        <v>36</v>
      </c>
      <c r="D47" t="s">
        <v>895</v>
      </c>
      <c r="E47" t="s">
        <v>896</v>
      </c>
      <c r="F47" t="s">
        <v>897</v>
      </c>
      <c r="G47" t="s">
        <v>898</v>
      </c>
    </row>
    <row r="48" spans="1:11" ht="17.25" x14ac:dyDescent="0.25">
      <c r="A48" t="s">
        <v>38</v>
      </c>
      <c r="B48" s="2" t="s">
        <v>902</v>
      </c>
      <c r="C48" t="s">
        <v>36</v>
      </c>
      <c r="D48" t="s">
        <v>895</v>
      </c>
      <c r="E48" t="s">
        <v>896</v>
      </c>
      <c r="F48" t="s">
        <v>897</v>
      </c>
      <c r="G48" t="s">
        <v>898</v>
      </c>
    </row>
    <row r="49" spans="1:9" ht="17.25" x14ac:dyDescent="0.25">
      <c r="A49" t="s">
        <v>413</v>
      </c>
      <c r="B49" t="s">
        <v>903</v>
      </c>
      <c r="C49" t="s">
        <v>36</v>
      </c>
      <c r="D49" t="s">
        <v>904</v>
      </c>
      <c r="E49" t="s">
        <v>905</v>
      </c>
      <c r="F49" t="s">
        <v>906</v>
      </c>
      <c r="G49" t="s">
        <v>907</v>
      </c>
    </row>
    <row r="50" spans="1:9" x14ac:dyDescent="0.25">
      <c r="A50" t="s">
        <v>416</v>
      </c>
      <c r="B50" t="s">
        <v>908</v>
      </c>
      <c r="C50" t="s">
        <v>36</v>
      </c>
      <c r="D50" t="s">
        <v>909</v>
      </c>
      <c r="E50" t="s">
        <v>910</v>
      </c>
      <c r="F50" t="s">
        <v>911</v>
      </c>
      <c r="G50" t="s">
        <v>912</v>
      </c>
      <c r="H50" t="s">
        <v>913</v>
      </c>
      <c r="I50" t="s">
        <v>914</v>
      </c>
    </row>
    <row r="51" spans="1:9" x14ac:dyDescent="0.25">
      <c r="A51" t="s">
        <v>40</v>
      </c>
    </row>
    <row r="52" spans="1:9" x14ac:dyDescent="0.25">
      <c r="A52" t="s">
        <v>424</v>
      </c>
      <c r="B52" t="s">
        <v>915</v>
      </c>
      <c r="C52" t="s">
        <v>436</v>
      </c>
      <c r="D52" t="s">
        <v>916</v>
      </c>
      <c r="E52" t="s">
        <v>917</v>
      </c>
      <c r="F52" t="s">
        <v>918</v>
      </c>
      <c r="G52" t="s">
        <v>919</v>
      </c>
      <c r="H52" t="s">
        <v>920</v>
      </c>
      <c r="I52" t="s">
        <v>921</v>
      </c>
    </row>
    <row r="53" spans="1:9" x14ac:dyDescent="0.25">
      <c r="A53" t="s">
        <v>427</v>
      </c>
      <c r="B53" t="s">
        <v>922</v>
      </c>
      <c r="C53" t="s">
        <v>436</v>
      </c>
      <c r="D53" t="s">
        <v>916</v>
      </c>
      <c r="E53" t="s">
        <v>917</v>
      </c>
      <c r="F53" t="s">
        <v>918</v>
      </c>
      <c r="G53" t="s">
        <v>919</v>
      </c>
      <c r="H53" t="s">
        <v>920</v>
      </c>
      <c r="I53" t="s">
        <v>923</v>
      </c>
    </row>
    <row r="54" spans="1:9" x14ac:dyDescent="0.25">
      <c r="A54" t="s">
        <v>40</v>
      </c>
    </row>
  </sheetData>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90"/>
  <sheetViews>
    <sheetView zoomScaleSheetLayoutView="100" workbookViewId="0">
      <selection activeCell="D21" sqref="D21"/>
    </sheetView>
  </sheetViews>
  <sheetFormatPr defaultColWidth="9" defaultRowHeight="15" x14ac:dyDescent="0.25"/>
  <cols>
    <col min="1" max="1" width="6.28515625" style="50" customWidth="1"/>
    <col min="2" max="2" width="5" style="91" customWidth="1"/>
    <col min="3" max="3" width="28.5703125" style="91" customWidth="1"/>
    <col min="4" max="4" width="18.42578125" style="91" customWidth="1"/>
    <col min="5" max="5" width="36.28515625" style="91" customWidth="1"/>
    <col min="6" max="6" width="34.7109375" style="91" customWidth="1"/>
    <col min="7" max="7" width="3.85546875" style="91" customWidth="1"/>
    <col min="8" max="9" width="17.140625" customWidth="1"/>
    <col min="11" max="11" width="12" customWidth="1"/>
    <col min="13" max="13" width="12.85546875" bestFit="1" customWidth="1"/>
  </cols>
  <sheetData>
    <row r="1" spans="1:31" x14ac:dyDescent="0.25">
      <c r="A1" s="92"/>
      <c r="B1" s="93"/>
      <c r="C1" s="93"/>
      <c r="D1" s="93"/>
      <c r="E1" s="93"/>
      <c r="F1" s="93" t="s">
        <v>77</v>
      </c>
      <c r="G1" s="94"/>
    </row>
    <row r="2" spans="1:31" ht="15.75" x14ac:dyDescent="0.25">
      <c r="A2" s="95"/>
      <c r="C2" s="590" t="str">
        <f>"PASIŪLYMAS DĖL "&amp;UPPER('1_punktas'!D13)&amp;" INTEGRUOTOS TERITORIJŲ VYSTYMO PROGRAMOS KEITIMO"</f>
        <v>PASIŪLYMAS DĖL – INTEGRUOTOS TERITORIJŲ VYSTYMO PROGRAMOS KEITIMO</v>
      </c>
      <c r="D2" s="590"/>
      <c r="E2" s="590"/>
      <c r="F2" s="590"/>
      <c r="G2" s="96"/>
      <c r="H2" s="9"/>
    </row>
    <row r="3" spans="1:31" s="49" customFormat="1" x14ac:dyDescent="0.25">
      <c r="A3" s="97"/>
      <c r="B3" s="98"/>
      <c r="C3" s="99"/>
      <c r="D3" s="99"/>
      <c r="E3" s="99"/>
      <c r="F3" s="99"/>
      <c r="G3" s="100"/>
      <c r="H3"/>
      <c r="I3" s="55"/>
      <c r="K3" s="52"/>
      <c r="L3" s="52"/>
      <c r="M3" s="52"/>
      <c r="N3" s="52"/>
      <c r="O3" s="52"/>
      <c r="P3" s="52"/>
      <c r="Q3" s="53"/>
      <c r="R3" s="53"/>
      <c r="S3" s="53"/>
      <c r="T3" s="53"/>
      <c r="U3" s="53"/>
      <c r="V3" s="53"/>
      <c r="W3" s="53"/>
      <c r="X3" s="53"/>
      <c r="Y3" s="53"/>
      <c r="Z3" s="53"/>
      <c r="AA3" s="53"/>
      <c r="AB3" s="53"/>
      <c r="AC3" s="53"/>
      <c r="AD3" s="53"/>
      <c r="AE3" s="53"/>
    </row>
    <row r="4" spans="1:31" s="51" customFormat="1" x14ac:dyDescent="0.25">
      <c r="A4" s="101" t="s">
        <v>10</v>
      </c>
      <c r="B4" s="102"/>
      <c r="C4" s="103"/>
      <c r="D4" s="104"/>
      <c r="E4" s="104"/>
      <c r="F4" s="105"/>
      <c r="G4" s="106"/>
      <c r="H4"/>
      <c r="J4" s="49"/>
      <c r="K4" s="52"/>
      <c r="L4" s="52"/>
      <c r="M4" s="52"/>
      <c r="N4" s="52"/>
      <c r="O4" s="52"/>
      <c r="P4" s="52"/>
      <c r="Q4" s="53"/>
      <c r="R4" s="53"/>
      <c r="S4" s="53"/>
      <c r="T4" s="53"/>
      <c r="U4" s="53"/>
      <c r="V4" s="53"/>
      <c r="W4" s="53"/>
      <c r="X4" s="53"/>
      <c r="Y4" s="53"/>
      <c r="Z4" s="53"/>
      <c r="AA4" s="53"/>
      <c r="AB4" s="53"/>
      <c r="AC4" s="53"/>
      <c r="AD4" s="53"/>
      <c r="AE4" s="53"/>
    </row>
    <row r="5" spans="1:31" s="54" customFormat="1" x14ac:dyDescent="0.25">
      <c r="A5" s="107"/>
      <c r="B5" s="108"/>
      <c r="C5" s="109"/>
      <c r="D5" s="110"/>
      <c r="E5" s="110"/>
      <c r="F5" s="111"/>
      <c r="G5" s="111"/>
      <c r="H5"/>
      <c r="I5" s="51"/>
      <c r="J5" s="49"/>
      <c r="K5" s="52"/>
      <c r="L5" s="53"/>
      <c r="M5" s="53"/>
      <c r="N5" s="53"/>
      <c r="O5" s="53"/>
      <c r="P5" s="53"/>
      <c r="Q5" s="53"/>
      <c r="R5" s="53"/>
      <c r="S5" s="53"/>
      <c r="T5" s="53"/>
      <c r="U5" s="53"/>
      <c r="V5" s="53"/>
      <c r="W5" s="53"/>
      <c r="X5" s="53"/>
      <c r="Y5" s="53"/>
      <c r="Z5" s="53"/>
      <c r="AA5" s="53"/>
      <c r="AB5" s="53"/>
      <c r="AC5" s="53"/>
      <c r="AD5" s="53"/>
      <c r="AE5" s="53"/>
    </row>
    <row r="6" spans="1:31" s="53" customFormat="1" x14ac:dyDescent="0.25">
      <c r="A6" s="112"/>
      <c r="B6" s="121" t="s">
        <v>78</v>
      </c>
      <c r="C6" s="113"/>
      <c r="D6" s="113"/>
      <c r="E6" s="113"/>
      <c r="F6" s="114"/>
      <c r="G6" s="115"/>
      <c r="H6"/>
      <c r="I6" s="51"/>
      <c r="J6" s="49"/>
      <c r="K6" s="52"/>
      <c r="L6" s="28"/>
      <c r="M6" s="28"/>
      <c r="N6" s="28"/>
      <c r="O6" s="28"/>
      <c r="P6" s="28"/>
    </row>
    <row r="7" spans="1:31" s="53" customFormat="1" x14ac:dyDescent="0.25">
      <c r="A7" s="112"/>
      <c r="B7" s="116"/>
      <c r="C7" s="117" t="s">
        <v>79</v>
      </c>
      <c r="D7" s="118"/>
      <c r="E7" s="118"/>
      <c r="F7" s="115"/>
      <c r="G7" s="57"/>
      <c r="H7"/>
      <c r="I7" s="51"/>
      <c r="J7" s="49"/>
      <c r="K7" s="52"/>
      <c r="L7" s="28"/>
      <c r="M7" s="28"/>
      <c r="N7" s="28"/>
      <c r="O7" s="28"/>
      <c r="P7" s="28"/>
    </row>
    <row r="8" spans="1:31" s="53" customFormat="1" x14ac:dyDescent="0.25">
      <c r="A8" s="112"/>
      <c r="B8" s="119"/>
      <c r="C8" s="120" t="s">
        <v>481</v>
      </c>
      <c r="D8" s="118"/>
      <c r="E8" s="118"/>
      <c r="F8" s="115"/>
      <c r="G8" s="57"/>
      <c r="H8"/>
      <c r="I8" s="51"/>
      <c r="J8" s="49"/>
      <c r="K8" s="52"/>
      <c r="L8" s="231"/>
      <c r="M8" s="231"/>
      <c r="N8" s="231"/>
      <c r="O8" s="231"/>
      <c r="P8" s="231"/>
    </row>
    <row r="9" spans="1:31" s="53" customFormat="1" x14ac:dyDescent="0.25">
      <c r="A9" s="112"/>
      <c r="B9" s="121"/>
      <c r="C9" s="118"/>
      <c r="D9" s="118"/>
      <c r="E9" s="118"/>
      <c r="F9" s="115"/>
      <c r="G9" s="57"/>
      <c r="H9"/>
      <c r="I9" s="28"/>
      <c r="J9" s="49"/>
      <c r="K9" s="52" t="s">
        <v>14</v>
      </c>
      <c r="L9" s="232" t="b">
        <f>IF(C8="Įtraukti naują veiksmą",TRUE,FALSE)</f>
        <v>1</v>
      </c>
      <c r="M9" s="231"/>
      <c r="N9" s="231"/>
      <c r="O9" s="231"/>
      <c r="P9" s="231"/>
    </row>
    <row r="10" spans="1:31" s="28" customFormat="1" ht="27" customHeight="1" x14ac:dyDescent="0.25">
      <c r="A10" s="122"/>
      <c r="B10" s="119"/>
      <c r="C10" s="123"/>
      <c r="D10" s="123" t="str">
        <f>IF(L10,"Esamo veiksmo numeris ITVP","")</f>
        <v/>
      </c>
      <c r="E10" s="123" t="str">
        <f>IF(L10,"Esamo veiksmo pavadinimas ITVP","")</f>
        <v/>
      </c>
      <c r="F10" s="124" t="str">
        <f>IF(L10,"Priemonės numeris ITVP","")</f>
        <v/>
      </c>
      <c r="G10" s="57"/>
      <c r="H10"/>
      <c r="I10" s="49"/>
      <c r="J10" s="49"/>
      <c r="K10" s="49" t="s">
        <v>15</v>
      </c>
      <c r="L10" s="233" t="b">
        <f>OR(L11:L12)</f>
        <v>0</v>
      </c>
      <c r="M10" s="49" t="s">
        <v>16</v>
      </c>
      <c r="N10" s="49" t="s">
        <v>17</v>
      </c>
      <c r="O10" s="49" t="s">
        <v>81</v>
      </c>
      <c r="P10" s="234" t="s">
        <v>82</v>
      </c>
    </row>
    <row r="11" spans="1:31" s="53" customFormat="1" ht="102.95" customHeight="1" x14ac:dyDescent="0.25">
      <c r="A11" s="112"/>
      <c r="B11" s="119"/>
      <c r="C11" s="125" t="str">
        <f>IF(L10,"Pateikite informaciją apie keičiamą (išbraukiamą) veiksmą →","")</f>
        <v/>
      </c>
      <c r="D11" s="125" t="s">
        <v>83</v>
      </c>
      <c r="E11" s="125" t="s">
        <v>84</v>
      </c>
      <c r="F11" s="126" t="s">
        <v>85</v>
      </c>
      <c r="G11" s="57"/>
      <c r="H11"/>
      <c r="I11" s="51"/>
      <c r="J11" s="49"/>
      <c r="K11" s="52" t="s">
        <v>18</v>
      </c>
      <c r="L11" s="235" t="b">
        <f>IF(C8="Pakeisti esamą veiksmą",TRUE,FALSE)</f>
        <v>0</v>
      </c>
      <c r="M11" s="231" t="b">
        <f t="shared" ref="M11:O11" si="0">ISTEXT(D11)</f>
        <v>1</v>
      </c>
      <c r="N11" s="231" t="b">
        <f t="shared" si="0"/>
        <v>1</v>
      </c>
      <c r="O11" s="231" t="b">
        <f t="shared" si="0"/>
        <v>1</v>
      </c>
      <c r="P11" s="236" t="b">
        <f>IF(L10=FALSE,TRUE,AND(M11:O11))</f>
        <v>1</v>
      </c>
    </row>
    <row r="12" spans="1:31" s="53" customFormat="1" x14ac:dyDescent="0.25">
      <c r="A12" s="112"/>
      <c r="B12" s="127"/>
      <c r="C12" s="70"/>
      <c r="D12" s="70"/>
      <c r="E12" s="70"/>
      <c r="F12" s="128"/>
      <c r="G12" s="57"/>
      <c r="H12"/>
      <c r="I12" s="51"/>
      <c r="J12" s="49"/>
      <c r="K12" s="52" t="s">
        <v>19</v>
      </c>
      <c r="L12" s="235" t="b">
        <f>IF(C8="Išbraukti esamą veiksmą",TRUE,FALSE)</f>
        <v>0</v>
      </c>
      <c r="M12" s="231"/>
      <c r="N12" s="231"/>
      <c r="O12" s="231"/>
      <c r="P12" s="231"/>
    </row>
    <row r="13" spans="1:31" s="52" customFormat="1" x14ac:dyDescent="0.25">
      <c r="A13" s="112"/>
      <c r="B13" s="116"/>
      <c r="C13" s="129" t="s">
        <v>21</v>
      </c>
      <c r="D13" s="130" t="str">
        <f>INDEX(klaidos!B77:B80,SMALL(klaidos!D77:D80,1),1)</f>
        <v>11 eilutė nepildoma (pašalinkite perteklinę informaciją)</v>
      </c>
      <c r="E13" s="131"/>
      <c r="F13" s="128"/>
      <c r="G13" s="57"/>
      <c r="H13"/>
      <c r="I13" s="55"/>
      <c r="J13" s="49"/>
      <c r="L13"/>
      <c r="Q13" s="53"/>
      <c r="R13" s="53"/>
      <c r="S13" s="53"/>
      <c r="T13" s="53"/>
      <c r="U13" s="53"/>
      <c r="V13" s="53"/>
      <c r="W13" s="53"/>
      <c r="X13" s="53"/>
      <c r="Y13" s="53"/>
      <c r="Z13" s="53"/>
      <c r="AA13" s="53"/>
      <c r="AB13" s="53"/>
      <c r="AC13" s="53"/>
      <c r="AD13" s="53"/>
      <c r="AE13" s="53"/>
    </row>
    <row r="14" spans="1:31" s="49" customFormat="1" x14ac:dyDescent="0.25">
      <c r="A14" s="112"/>
      <c r="B14" s="132"/>
      <c r="C14" s="133"/>
      <c r="D14" s="134"/>
      <c r="E14" s="134"/>
      <c r="F14" s="135"/>
      <c r="G14" s="57"/>
      <c r="H14"/>
      <c r="I14" s="28"/>
      <c r="K14" s="52"/>
      <c r="L14" s="52"/>
      <c r="M14" s="52"/>
      <c r="N14" s="52"/>
      <c r="O14" s="52"/>
      <c r="P14" s="52"/>
      <c r="Q14" s="53"/>
      <c r="R14" s="53"/>
      <c r="S14" s="53"/>
      <c r="T14" s="53"/>
      <c r="U14" s="53"/>
      <c r="V14" s="53"/>
      <c r="W14" s="53"/>
      <c r="X14" s="53"/>
      <c r="Y14" s="53"/>
      <c r="Z14" s="53"/>
      <c r="AA14" s="53"/>
      <c r="AB14" s="53"/>
      <c r="AC14" s="53"/>
      <c r="AD14" s="53"/>
      <c r="AE14" s="53"/>
    </row>
    <row r="15" spans="1:31" s="49" customFormat="1" ht="18.95" customHeight="1" x14ac:dyDescent="0.25">
      <c r="A15" s="136"/>
      <c r="B15" s="137"/>
      <c r="C15" s="591" t="str">
        <f>IF(L12,"Pasirinkote išbraukti esamą veiksmą, toliau prašome nepildyti (ištrinti)","")</f>
        <v/>
      </c>
      <c r="D15" s="591"/>
      <c r="E15" s="591"/>
      <c r="F15" s="138"/>
      <c r="G15" s="138"/>
      <c r="H15"/>
      <c r="I15" s="28"/>
      <c r="K15" s="52"/>
      <c r="L15" s="52"/>
      <c r="M15" s="52"/>
      <c r="N15" s="52"/>
      <c r="O15" s="52"/>
      <c r="P15" s="52"/>
      <c r="Q15" s="53"/>
      <c r="R15" s="53"/>
      <c r="S15" s="53"/>
      <c r="T15" s="53"/>
      <c r="U15" s="53"/>
      <c r="V15" s="53"/>
      <c r="W15" s="53"/>
      <c r="X15" s="53"/>
      <c r="Y15" s="53"/>
      <c r="Z15" s="53"/>
      <c r="AA15" s="53"/>
      <c r="AB15" s="53"/>
      <c r="AC15" s="53"/>
      <c r="AD15" s="53"/>
      <c r="AE15" s="53"/>
    </row>
    <row r="16" spans="1:31" s="49" customFormat="1" x14ac:dyDescent="0.25">
      <c r="A16" s="139"/>
      <c r="B16" s="140"/>
      <c r="C16"/>
      <c r="D16"/>
      <c r="E16"/>
      <c r="F16"/>
      <c r="G16"/>
      <c r="H16"/>
      <c r="I16" s="28"/>
      <c r="K16" s="52"/>
      <c r="L16" s="52"/>
      <c r="M16" s="52"/>
      <c r="N16" s="52"/>
      <c r="O16" s="52"/>
      <c r="P16" s="52"/>
      <c r="Q16" s="53"/>
      <c r="R16" s="53"/>
      <c r="S16" s="53"/>
      <c r="T16" s="53"/>
      <c r="U16" s="53"/>
      <c r="V16" s="53"/>
      <c r="W16" s="53"/>
      <c r="X16" s="53"/>
      <c r="Y16" s="53"/>
      <c r="Z16" s="53"/>
      <c r="AA16" s="53"/>
      <c r="AB16" s="53"/>
      <c r="AC16" s="53"/>
      <c r="AD16" s="53"/>
      <c r="AE16" s="53"/>
    </row>
    <row r="17" spans="1:31" s="53" customFormat="1" x14ac:dyDescent="0.25">
      <c r="A17" s="141"/>
      <c r="B17" s="225" t="s">
        <v>86</v>
      </c>
      <c r="C17" s="142" t="str">
        <f>IF(L12,"Nepildoma","")</f>
        <v/>
      </c>
      <c r="D17" s="142"/>
      <c r="E17" s="142"/>
      <c r="F17" s="143"/>
      <c r="G17" s="144"/>
      <c r="H17"/>
      <c r="I17" s="28"/>
      <c r="J17" s="49"/>
      <c r="K17" s="52" t="b">
        <f t="shared" ref="K17:K20" si="1">I21</f>
        <v>1</v>
      </c>
      <c r="L17" s="52"/>
      <c r="M17" s="52" t="b">
        <f t="shared" ref="M17:M19" si="2">NOT(ISBLANK(D21))</f>
        <v>1</v>
      </c>
      <c r="N17" s="52" t="b">
        <f>NOT(ISBLANK(E21))</f>
        <v>1</v>
      </c>
      <c r="O17" s="52">
        <f t="shared" ref="O17:O20" si="3">COUNTIF(K17:N17,TRUE)</f>
        <v>3</v>
      </c>
      <c r="P17" s="52" t="b">
        <f t="shared" ref="P17:P20" si="4">IF(O17=0,TRUE,FALSE)</f>
        <v>0</v>
      </c>
      <c r="Q17" s="53" t="b">
        <f t="shared" ref="Q17:Q19" si="5">IF(O17=3,TRUE,FALSE)</f>
        <v>1</v>
      </c>
      <c r="R17" s="53" t="b">
        <f t="shared" ref="R17:R20" si="6">OR(P17:Q17)</f>
        <v>1</v>
      </c>
    </row>
    <row r="18" spans="1:31" s="53" customFormat="1" ht="15.95" customHeight="1" x14ac:dyDescent="0.25">
      <c r="A18" s="141"/>
      <c r="B18" s="145"/>
      <c r="C18" s="146" t="str">
        <f>IF($C$17="Nepildoma","","ITVP uždavinio ir (ar) priemonės keitimo būdas (reikalingą pažymėkite)")</f>
        <v>ITVP uždavinio ir (ar) priemonės keitimo būdas (reikalingą pažymėkite)</v>
      </c>
      <c r="D18" s="147"/>
      <c r="E18" s="147"/>
      <c r="F18" s="148"/>
      <c r="G18" s="149"/>
      <c r="H18"/>
      <c r="I18" s="28"/>
      <c r="J18" s="49"/>
      <c r="K18" s="52" t="b">
        <f t="shared" si="1"/>
        <v>0</v>
      </c>
      <c r="L18" s="52"/>
      <c r="M18" s="52" t="b">
        <f t="shared" si="2"/>
        <v>0</v>
      </c>
      <c r="N18" s="52" t="b">
        <f t="shared" ref="N18:N20" si="7">NOT(ISBLANK(E22))</f>
        <v>0</v>
      </c>
      <c r="O18" s="52">
        <f t="shared" si="3"/>
        <v>0</v>
      </c>
      <c r="P18" s="52" t="b">
        <f t="shared" si="4"/>
        <v>1</v>
      </c>
      <c r="Q18" s="53" t="b">
        <f t="shared" si="5"/>
        <v>0</v>
      </c>
      <c r="R18" s="53" t="b">
        <f t="shared" si="6"/>
        <v>1</v>
      </c>
    </row>
    <row r="19" spans="1:31" s="53" customFormat="1" x14ac:dyDescent="0.25">
      <c r="A19" s="141"/>
      <c r="B19" s="145"/>
      <c r="C19" s="150"/>
      <c r="D19" s="147"/>
      <c r="E19" s="147"/>
      <c r="F19" s="148"/>
      <c r="G19" s="149"/>
      <c r="H19"/>
      <c r="I19" s="28"/>
      <c r="J19" s="49"/>
      <c r="K19" s="52" t="b">
        <f t="shared" si="1"/>
        <v>0</v>
      </c>
      <c r="L19" s="52"/>
      <c r="M19" s="52" t="b">
        <f t="shared" si="2"/>
        <v>0</v>
      </c>
      <c r="N19" s="52" t="b">
        <f t="shared" si="7"/>
        <v>0</v>
      </c>
      <c r="O19" s="52">
        <f t="shared" si="3"/>
        <v>0</v>
      </c>
      <c r="P19" s="52" t="b">
        <f t="shared" si="4"/>
        <v>1</v>
      </c>
      <c r="Q19" s="53" t="b">
        <f t="shared" si="5"/>
        <v>0</v>
      </c>
      <c r="R19" s="53" t="b">
        <f t="shared" si="6"/>
        <v>1</v>
      </c>
    </row>
    <row r="20" spans="1:31" s="53" customFormat="1" x14ac:dyDescent="0.25">
      <c r="A20" s="141"/>
      <c r="B20" s="145"/>
      <c r="C20" s="151"/>
      <c r="D20" s="152" t="str">
        <f>IF($C$53="Nepildoma","","Numeris")</f>
        <v>Numeris</v>
      </c>
      <c r="E20" s="152" t="str">
        <f>IF($C$53="Nepildoma","","Pavadinimas")</f>
        <v>Pavadinimas</v>
      </c>
      <c r="F20" s="153"/>
      <c r="G20" s="111"/>
      <c r="H20"/>
      <c r="I20" s="28"/>
      <c r="J20" s="49"/>
      <c r="K20" s="52" t="b">
        <f t="shared" si="1"/>
        <v>1</v>
      </c>
      <c r="L20" s="52"/>
      <c r="M20" s="52"/>
      <c r="N20" s="52" t="b">
        <f t="shared" si="7"/>
        <v>1</v>
      </c>
      <c r="O20" s="52">
        <f t="shared" si="3"/>
        <v>2</v>
      </c>
      <c r="P20" s="52" t="b">
        <f t="shared" si="4"/>
        <v>0</v>
      </c>
      <c r="Q20" s="53" t="b">
        <f>IF(O20=2,TRUE,FALSE)</f>
        <v>1</v>
      </c>
      <c r="R20" s="53" t="b">
        <f t="shared" si="6"/>
        <v>1</v>
      </c>
    </row>
    <row r="21" spans="1:31" s="53" customFormat="1" ht="43.15" customHeight="1" x14ac:dyDescent="0.25">
      <c r="A21" s="141"/>
      <c r="B21" s="145"/>
      <c r="C21" s="154" t="str">
        <f>IF(C17="Nepildoma","","Projektą priskirti esamam uždaviniui")</f>
        <v>Projektą priskirti esamam uždaviniui</v>
      </c>
      <c r="D21" s="155" t="s">
        <v>11</v>
      </c>
      <c r="E21" s="155" t="s">
        <v>23</v>
      </c>
      <c r="F21" s="156" t="str">
        <f>IF(C17="Nepildoma","",IF(I21,"←Nurodykite esamo uždavinio numerį ir pavadinimą",""))</f>
        <v>←Nurodykite esamo uždavinio numerį ir pavadinimą</v>
      </c>
      <c r="G21" s="157"/>
      <c r="H21"/>
      <c r="I21" t="b">
        <v>1</v>
      </c>
      <c r="J21" s="49"/>
      <c r="K21" s="52">
        <f>COUNTIF(K17:K20,TRUE)</f>
        <v>2</v>
      </c>
      <c r="L21" s="52"/>
      <c r="M21" s="52"/>
      <c r="N21" s="52"/>
      <c r="O21" s="52"/>
      <c r="P21" s="52"/>
      <c r="Q21" s="53" t="s">
        <v>87</v>
      </c>
      <c r="R21" s="238" t="b">
        <f>AND(R17:R20)</f>
        <v>1</v>
      </c>
    </row>
    <row r="22" spans="1:31" s="52" customFormat="1" ht="57.95" customHeight="1" x14ac:dyDescent="0.25">
      <c r="A22" s="141"/>
      <c r="B22" s="158"/>
      <c r="C22" s="154" t="str">
        <f>IF(C17="Nepildoma","","Nustatyti naują uždavinį")</f>
        <v>Nustatyti naują uždavinį</v>
      </c>
      <c r="D22" s="155"/>
      <c r="E22" s="155"/>
      <c r="F22" s="156" t="str">
        <f>IF(C17="Nepildoma","",IF(I22,"←Nurodykite esamo tikslo (kuriam priskirtinas naujas uždavinys) numerį ir siūlomą naujo uždavinio pavadinimą",""))</f>
        <v/>
      </c>
      <c r="G22" s="157"/>
      <c r="H22"/>
      <c r="I22" t="b">
        <v>0</v>
      </c>
      <c r="J22" s="49"/>
      <c r="L22" s="52" t="b">
        <f>IF(MOD(K17+K18,2)=1,TRUE,FALSE)</f>
        <v>1</v>
      </c>
      <c r="N22" s="52" t="str">
        <f t="shared" ref="N22:N25" si="8">LEFT(D21,2)</f>
        <v>1.</v>
      </c>
      <c r="O22" s="52" t="b">
        <f>OR(N22=N24,N22=N25)</f>
        <v>1</v>
      </c>
      <c r="Q22" s="53"/>
      <c r="R22" s="53"/>
      <c r="S22" s="53"/>
      <c r="T22" s="53"/>
      <c r="U22" s="53"/>
      <c r="V22" s="53"/>
      <c r="W22" s="53"/>
      <c r="X22" s="53"/>
      <c r="Y22" s="53"/>
      <c r="Z22" s="53"/>
      <c r="AA22" s="53"/>
      <c r="AB22" s="53"/>
      <c r="AC22" s="53"/>
      <c r="AD22" s="53"/>
      <c r="AE22" s="53"/>
    </row>
    <row r="23" spans="1:31" s="52" customFormat="1" ht="99" customHeight="1" x14ac:dyDescent="0.25">
      <c r="A23" s="141"/>
      <c r="B23" s="145"/>
      <c r="C23" s="154" t="str">
        <f>IF(C17="Nepildoma","","Projektą priskirti esamai priemonei")</f>
        <v>Projektą priskirti esamai priemonei</v>
      </c>
      <c r="D23" s="155"/>
      <c r="E23" s="155"/>
      <c r="F23" s="156" t="str">
        <f>IF(C17="Nepildoma","",IF(I23,"←Nurodykite esamos priemonės numerį ir pavadinimą(aprašymą)",""))</f>
        <v/>
      </c>
      <c r="G23" s="157"/>
      <c r="H23"/>
      <c r="I23" t="b">
        <v>0</v>
      </c>
      <c r="J23" s="49"/>
      <c r="L23" s="52" t="b">
        <f>IF(MOD(K19+K20,2)=1,TRUE,FALSE)</f>
        <v>1</v>
      </c>
      <c r="N23" s="52" t="str">
        <f t="shared" si="8"/>
        <v/>
      </c>
      <c r="O23" s="52" t="b">
        <f>OR(N23=N25,LEN(N23)=0)</f>
        <v>1</v>
      </c>
      <c r="Q23" s="53"/>
      <c r="R23" s="53"/>
      <c r="S23" s="53"/>
      <c r="T23" s="53"/>
      <c r="U23" s="53"/>
      <c r="V23" s="53"/>
      <c r="W23" s="53"/>
      <c r="X23" s="53"/>
      <c r="Y23" s="53"/>
      <c r="Z23" s="53"/>
      <c r="AA23" s="53"/>
      <c r="AB23" s="53"/>
      <c r="AC23" s="53"/>
      <c r="AD23" s="53"/>
      <c r="AE23" s="53"/>
    </row>
    <row r="24" spans="1:31" s="52" customFormat="1" ht="101.1" customHeight="1" x14ac:dyDescent="0.25">
      <c r="A24" s="141"/>
      <c r="B24" s="145"/>
      <c r="C24" s="154" t="str">
        <f>IF(C17="Nepildoma","","Nustatyti naują priemonę")</f>
        <v>Nustatyti naują priemonę</v>
      </c>
      <c r="D24" s="155" t="str">
        <f>IF($C$53="Nepildoma","",IF(ISBLANK(D23),D22&amp;D21&amp;"(...)",""))</f>
        <v>1.2.(...)</v>
      </c>
      <c r="E24" s="155" t="s">
        <v>24</v>
      </c>
      <c r="F24" s="156" t="str">
        <f>IF(C17="Nepildoma","",IF(I24,"←Nurodykite siūlomos naujos priemonės pavadinimą (aprašymą)",""))</f>
        <v>←Nurodykite siūlomos naujos priemonės pavadinimą (aprašymą)</v>
      </c>
      <c r="G24" s="157"/>
      <c r="H24"/>
      <c r="I24" t="b">
        <v>1</v>
      </c>
      <c r="J24" s="49"/>
      <c r="K24" s="52" t="s">
        <v>88</v>
      </c>
      <c r="L24" s="180" t="b">
        <f>AND(L22:L23)</f>
        <v>1</v>
      </c>
      <c r="N24" s="52" t="str">
        <f t="shared" si="8"/>
        <v/>
      </c>
      <c r="O24" s="180" t="b">
        <f>AND(O22,O23,O26)</f>
        <v>1</v>
      </c>
      <c r="P24" s="52" t="s">
        <v>89</v>
      </c>
      <c r="Q24" s="53"/>
      <c r="R24" s="53"/>
      <c r="S24" s="53"/>
      <c r="T24" s="53"/>
      <c r="U24" s="53"/>
      <c r="V24" s="53"/>
      <c r="W24" s="53"/>
      <c r="X24" s="53"/>
      <c r="Y24" s="53"/>
      <c r="Z24" s="53"/>
      <c r="AA24" s="53"/>
      <c r="AB24" s="53"/>
      <c r="AC24" s="53"/>
      <c r="AD24" s="53"/>
      <c r="AE24" s="53"/>
    </row>
    <row r="25" spans="1:31" s="52" customFormat="1" x14ac:dyDescent="0.25">
      <c r="A25" s="141"/>
      <c r="B25" s="159"/>
      <c r="C25" s="120"/>
      <c r="D25" s="133"/>
      <c r="E25" s="133"/>
      <c r="F25" s="160"/>
      <c r="G25" s="161"/>
      <c r="H25"/>
      <c r="I25" s="28"/>
      <c r="J25" s="49"/>
      <c r="K25"/>
      <c r="L25" t="b">
        <f>NOT(AND(K18:K19))</f>
        <v>1</v>
      </c>
      <c r="N25" s="52" t="str">
        <f t="shared" si="8"/>
        <v>1.</v>
      </c>
      <c r="O25" s="52" t="str">
        <f>LEFT(D21,3)</f>
        <v>1.2</v>
      </c>
      <c r="Q25" s="53"/>
      <c r="R25" s="53"/>
      <c r="S25" s="53"/>
      <c r="T25" s="53"/>
      <c r="U25" s="53"/>
      <c r="V25" s="53"/>
      <c r="W25" s="53"/>
      <c r="X25" s="53"/>
      <c r="Y25" s="53"/>
      <c r="Z25" s="53"/>
      <c r="AA25" s="53"/>
      <c r="AB25" s="53"/>
      <c r="AC25" s="53"/>
      <c r="AD25" s="53"/>
      <c r="AE25" s="53"/>
    </row>
    <row r="26" spans="1:31" s="52" customFormat="1" ht="27" customHeight="1" x14ac:dyDescent="0.25">
      <c r="A26" s="141"/>
      <c r="B26" s="145"/>
      <c r="C26" s="151" t="str">
        <f>IF(I21,"Ar reikia keisti uždavinio pavadinimą? Pasirinkite →?","")</f>
        <v>Ar reikia keisti uždavinio pavadinimą? Pasirinkite →?</v>
      </c>
      <c r="D26" s="162" t="s">
        <v>90</v>
      </c>
      <c r="E26" s="163" t="s">
        <v>91</v>
      </c>
      <c r="F26" s="164" t="str">
        <f>IF(D26="Taip","←Pateikite siūlomą uždavinio formuluotę","")</f>
        <v/>
      </c>
      <c r="G26" s="149"/>
      <c r="H26"/>
      <c r="I26" s="28"/>
      <c r="J26" s="49"/>
      <c r="K26"/>
      <c r="L26"/>
      <c r="O26" s="53" t="b">
        <f>OR(O25=O29,LEN(O25)=0,LEN(O29)=0)</f>
        <v>1</v>
      </c>
      <c r="Q26" s="53"/>
      <c r="R26" s="53"/>
      <c r="S26" s="53"/>
      <c r="T26" s="53"/>
      <c r="U26" s="53"/>
      <c r="V26" s="53"/>
      <c r="W26" s="53"/>
      <c r="X26" s="53"/>
      <c r="Y26" s="53"/>
      <c r="Z26" s="53"/>
      <c r="AA26" s="53"/>
      <c r="AB26" s="53"/>
      <c r="AC26" s="53"/>
      <c r="AD26" s="53"/>
      <c r="AE26" s="53"/>
    </row>
    <row r="27" spans="1:31" s="52" customFormat="1" ht="42.95" customHeight="1" x14ac:dyDescent="0.25">
      <c r="A27" s="141"/>
      <c r="B27" s="145"/>
      <c r="C27" s="151" t="str">
        <f>IF(I23,"Ar reikia keisti priemonės pavadinimą? Pasirinkite →?","")</f>
        <v/>
      </c>
      <c r="D27" s="162"/>
      <c r="E27" s="163"/>
      <c r="F27" s="164" t="str">
        <f>IF(D27="Taip","←Pateikite siūlomą priemonės formuluotę","")</f>
        <v/>
      </c>
      <c r="G27" s="149"/>
      <c r="H27"/>
      <c r="I27" s="28"/>
      <c r="J27" s="49"/>
      <c r="K27"/>
      <c r="L27" t="s">
        <v>92</v>
      </c>
      <c r="Q27" s="53"/>
      <c r="R27" s="53"/>
      <c r="S27" s="53"/>
      <c r="T27" s="53"/>
      <c r="U27" s="53"/>
      <c r="V27" s="53"/>
      <c r="W27" s="53"/>
      <c r="X27" s="53"/>
      <c r="Y27" s="53"/>
      <c r="Z27" s="53"/>
      <c r="AA27" s="53"/>
      <c r="AB27" s="53"/>
      <c r="AC27" s="53"/>
      <c r="AD27" s="53"/>
      <c r="AE27" s="53"/>
    </row>
    <row r="28" spans="1:31" s="52" customFormat="1" ht="15" customHeight="1" x14ac:dyDescent="0.25">
      <c r="A28" s="141"/>
      <c r="B28" s="165"/>
      <c r="C28"/>
      <c r="D28"/>
      <c r="E28"/>
      <c r="F28"/>
      <c r="G28"/>
      <c r="H28"/>
      <c r="I28" s="28"/>
      <c r="J28" s="49"/>
      <c r="K28"/>
      <c r="L28" t="b">
        <f>OR(L12,'1_punktas'!D85=0)</f>
        <v>1</v>
      </c>
      <c r="Q28" s="53"/>
      <c r="R28" s="53"/>
      <c r="S28" s="53"/>
      <c r="T28" s="53"/>
      <c r="U28" s="53"/>
      <c r="V28" s="53"/>
      <c r="W28" s="53"/>
      <c r="X28" s="53"/>
      <c r="Y28" s="53"/>
      <c r="Z28" s="53"/>
      <c r="AA28" s="53"/>
      <c r="AB28" s="53"/>
      <c r="AC28" s="53"/>
      <c r="AD28" s="53"/>
      <c r="AE28" s="53"/>
    </row>
    <row r="29" spans="1:31" s="52" customFormat="1" x14ac:dyDescent="0.25">
      <c r="A29" s="141"/>
      <c r="B29" s="159"/>
      <c r="C29" s="129" t="s">
        <v>21</v>
      </c>
      <c r="D29" s="130" t="str">
        <f>INDEX(klaidos!B83:B91,SMALL(klaidos!D83:D91,1),1)</f>
        <v>Teisingai</v>
      </c>
      <c r="E29" s="166"/>
      <c r="F29" s="167"/>
      <c r="G29" s="168"/>
      <c r="H29"/>
      <c r="I29" s="28"/>
      <c r="J29" s="49"/>
      <c r="K29"/>
      <c r="L29"/>
      <c r="O29" s="52" t="str">
        <f>LEFT(D23,3)</f>
        <v/>
      </c>
      <c r="Q29" s="53"/>
      <c r="R29" s="53"/>
      <c r="S29" s="53"/>
      <c r="T29" s="53"/>
      <c r="U29" s="53"/>
      <c r="V29" s="53"/>
      <c r="W29" s="53"/>
      <c r="X29" s="53"/>
      <c r="Y29" s="53"/>
      <c r="Z29" s="53"/>
      <c r="AA29" s="53"/>
      <c r="AB29" s="53"/>
      <c r="AC29" s="53"/>
      <c r="AD29" s="53"/>
      <c r="AE29" s="53"/>
    </row>
    <row r="30" spans="1:31" s="53" customFormat="1" x14ac:dyDescent="0.25">
      <c r="A30" s="169"/>
      <c r="B30" s="170"/>
      <c r="C30" s="171"/>
      <c r="D30" s="172"/>
      <c r="E30" s="173"/>
      <c r="F30" s="174"/>
      <c r="G30" s="175"/>
      <c r="H30"/>
      <c r="I30" s="28"/>
      <c r="J30" s="28"/>
      <c r="K30"/>
      <c r="L30"/>
    </row>
    <row r="31" spans="1:31" s="53" customFormat="1" x14ac:dyDescent="0.25">
      <c r="A31" s="169"/>
      <c r="B31" s="176" t="s">
        <v>93</v>
      </c>
      <c r="C31" s="142" t="str">
        <f>IF(L28,"Nepildoma","")</f>
        <v>Nepildoma</v>
      </c>
      <c r="D31" s="177"/>
      <c r="E31" s="178"/>
      <c r="F31" s="179"/>
      <c r="G31" s="168"/>
      <c r="H31"/>
      <c r="I31" s="28"/>
      <c r="J31" s="28"/>
      <c r="K31"/>
      <c r="L31"/>
    </row>
    <row r="32" spans="1:31" s="52" customFormat="1" ht="15" customHeight="1" x14ac:dyDescent="0.25">
      <c r="A32" s="141"/>
      <c r="B32" s="180"/>
      <c r="C32" s="146" t="str">
        <f>IF($C$31="Nepildoma","","Bendrojo finansavimo ir nuosavo indėlio lėšų proporcijos (prireikus patikslinkite)")</f>
        <v/>
      </c>
      <c r="D32" s="110"/>
      <c r="E32" s="181"/>
      <c r="F32" s="182"/>
      <c r="G32" s="149"/>
      <c r="H32"/>
      <c r="I32" s="28"/>
      <c r="J32" s="49"/>
      <c r="K32"/>
      <c r="L32"/>
      <c r="Q32" s="53"/>
      <c r="R32" s="53"/>
      <c r="S32" s="53"/>
      <c r="T32" s="53"/>
      <c r="U32" s="53"/>
      <c r="V32" s="53"/>
      <c r="W32" s="53"/>
      <c r="X32" s="53"/>
      <c r="Y32" s="53"/>
      <c r="Z32" s="53"/>
      <c r="AA32" s="53"/>
      <c r="AB32" s="53"/>
      <c r="AC32" s="53"/>
      <c r="AD32" s="53"/>
      <c r="AE32" s="53"/>
    </row>
    <row r="33" spans="1:31" s="52" customFormat="1" ht="15" customHeight="1" x14ac:dyDescent="0.25">
      <c r="A33" s="141"/>
      <c r="B33" s="145"/>
      <c r="C33" s="183"/>
      <c r="D33" s="182"/>
      <c r="E33" s="183"/>
      <c r="F33" s="182"/>
      <c r="G33" s="149"/>
      <c r="H33"/>
      <c r="I33" s="28"/>
      <c r="J33" s="49"/>
      <c r="K33"/>
      <c r="L33"/>
      <c r="Q33" s="53"/>
      <c r="R33" s="53"/>
      <c r="S33" s="53"/>
      <c r="T33" s="53"/>
      <c r="U33" s="53"/>
      <c r="V33" s="53"/>
      <c r="W33" s="53"/>
      <c r="X33" s="53"/>
      <c r="Y33" s="53"/>
      <c r="Z33" s="53"/>
      <c r="AA33" s="53"/>
      <c r="AB33" s="53"/>
      <c r="AC33" s="53"/>
      <c r="AD33" s="53"/>
      <c r="AE33" s="53"/>
    </row>
    <row r="34" spans="1:31" s="53" customFormat="1" ht="39.950000000000003" customHeight="1" x14ac:dyDescent="0.25">
      <c r="A34" s="184"/>
      <c r="B34" s="185"/>
      <c r="C34" s="592" t="str">
        <f>IF(LEN(C32)&gt;5,"Numatote naudoti ES finansinę paramą. Patikslinkite, ar visos 1 lentelės 5 sekcijoje nurodytos lėšos yra priskirtinos atitinkamo projekto nacionaliniam bendrajam finansavimui ir vykdytojo nuosavam indėliui? (toliau – BF). Pasirinkite F strulpelyje →","")</f>
        <v/>
      </c>
      <c r="D34" s="592"/>
      <c r="E34" s="592"/>
      <c r="F34" s="186" t="s">
        <v>90</v>
      </c>
      <c r="G34" s="187"/>
      <c r="H34"/>
      <c r="I34" s="28"/>
      <c r="J34" s="28"/>
      <c r="K34"/>
      <c r="L34"/>
    </row>
    <row r="35" spans="1:31" s="53" customFormat="1" ht="24.95" customHeight="1" x14ac:dyDescent="0.25">
      <c r="A35" s="184"/>
      <c r="B35" s="185"/>
      <c r="C35" s="188"/>
      <c r="D35" s="188"/>
      <c r="E35" s="188"/>
      <c r="F35" s="189" t="str">
        <f>IF(F34="Ne","↓","")</f>
        <v>↓</v>
      </c>
      <c r="G35" s="187"/>
      <c r="H35"/>
      <c r="I35" s="28"/>
      <c r="J35" s="28"/>
      <c r="K35"/>
      <c r="L35"/>
    </row>
    <row r="36" spans="1:31" s="53" customFormat="1" ht="30" customHeight="1" x14ac:dyDescent="0.25">
      <c r="A36" s="184"/>
      <c r="B36" s="185"/>
      <c r="C36" s="190"/>
      <c r="D36" s="191" t="str">
        <f>IF(LEN(C32)&gt;5,"Iš viso (Eur):","")</f>
        <v/>
      </c>
      <c r="E36" s="191" t="str">
        <f>IF(LEN(C32)&gt;5,"Iš jų BF (Eur):","")</f>
        <v/>
      </c>
      <c r="F36" s="192" t="str">
        <f>IF(F34="Ne","Galite patikslinti planuojamą BF sumą įrašydami ją F stulpelyje","")</f>
        <v>Galite patikslinti planuojamą BF sumą įrašydami ją F stulpelyje</v>
      </c>
      <c r="G36" s="187"/>
      <c r="H36"/>
      <c r="I36" s="28"/>
      <c r="J36" s="28"/>
      <c r="K36"/>
      <c r="L36"/>
    </row>
    <row r="37" spans="1:31" s="53" customFormat="1" x14ac:dyDescent="0.25">
      <c r="A37" s="184"/>
      <c r="B37" s="185"/>
      <c r="C37" s="193" t="str">
        <f>IF(LEN(C32)&gt;5,"Iš viso veiksmui įgyvendinti:","")</f>
        <v/>
      </c>
      <c r="D37" s="194" t="str">
        <f>IF(LEN(C32)&gt;5,'1_punktas'!D80,"")</f>
        <v/>
      </c>
      <c r="E37" s="195"/>
      <c r="F37" s="196"/>
      <c r="G37" s="197"/>
      <c r="H37"/>
      <c r="K37"/>
      <c r="L37"/>
    </row>
    <row r="38" spans="1:31" s="53" customFormat="1" x14ac:dyDescent="0.25">
      <c r="A38" s="184"/>
      <c r="B38" s="185"/>
      <c r="C38" s="198" t="str">
        <f>IF(LEN(C32)&gt;5,"Valstybės biudžeto lėšos:","")</f>
        <v/>
      </c>
      <c r="D38" s="199" t="str">
        <f>IF(LEN(C32)&gt;5,'1_punktas'!D82,"")</f>
        <v/>
      </c>
      <c r="E38" s="200" t="str">
        <f t="shared" ref="E38:E41" si="9">IF(OR($F$35="Taip",LEN($F$35)=0),D38,IF(F38&gt;0,F38,D38))</f>
        <v/>
      </c>
      <c r="F38" s="201"/>
      <c r="G38" s="197"/>
      <c r="H38"/>
      <c r="K38"/>
      <c r="L38"/>
    </row>
    <row r="39" spans="1:31" s="53" customFormat="1" x14ac:dyDescent="0.25">
      <c r="A39" s="184"/>
      <c r="B39" s="185"/>
      <c r="C39" s="198" t="str">
        <f>IF(LEN(C32)&gt;5,"Savivaldybės biudžeto lėšos:","")</f>
        <v/>
      </c>
      <c r="D39" s="202" t="str">
        <f>IF(LEN(C32)&gt;5,'1_punktas'!D81,"")</f>
        <v/>
      </c>
      <c r="E39" s="203" t="str">
        <f t="shared" si="9"/>
        <v/>
      </c>
      <c r="F39" s="204"/>
      <c r="G39" s="197"/>
      <c r="H39"/>
      <c r="K39"/>
      <c r="L39"/>
    </row>
    <row r="40" spans="1:31" s="53" customFormat="1" x14ac:dyDescent="0.25">
      <c r="A40" s="184"/>
      <c r="B40" s="185"/>
      <c r="C40" s="198" t="str">
        <f>IF(LEN(C32)&gt;5,"Kitos viešosios lėšos"&amp;IF(LEN('1_punktas'!E84)&gt;0," ("&amp;'1_punktas'!E84&amp;"):",""),"")</f>
        <v/>
      </c>
      <c r="D40" s="202" t="str">
        <f>IF(LEN(C32)&gt;5,'1_punktas'!D84,"")</f>
        <v/>
      </c>
      <c r="E40" s="203" t="str">
        <f t="shared" si="9"/>
        <v/>
      </c>
      <c r="F40" s="204"/>
      <c r="G40" s="197"/>
      <c r="H40"/>
      <c r="I40" s="237" t="e">
        <f>SUM(E38:E41)/I41</f>
        <v>#VALUE!</v>
      </c>
      <c r="K40"/>
      <c r="L40"/>
    </row>
    <row r="41" spans="1:31" s="53" customFormat="1" x14ac:dyDescent="0.25">
      <c r="A41" s="184"/>
      <c r="B41" s="185"/>
      <c r="C41" s="198" t="str">
        <f>IF(LEN(C32)&gt;5,"Privačios lėšos:","")</f>
        <v/>
      </c>
      <c r="D41" s="205" t="str">
        <f>IF(LEN(C32)&gt;5,'1_punktas'!D83,"")</f>
        <v/>
      </c>
      <c r="E41" s="206" t="str">
        <f t="shared" si="9"/>
        <v/>
      </c>
      <c r="F41" s="207"/>
      <c r="G41" s="197"/>
      <c r="H41"/>
      <c r="I41" s="53" t="e">
        <f>SUM(E38:E41)+D42</f>
        <v>#VALUE!</v>
      </c>
      <c r="K41"/>
      <c r="L41"/>
    </row>
    <row r="42" spans="1:31" s="53" customFormat="1" x14ac:dyDescent="0.25">
      <c r="A42" s="184"/>
      <c r="B42" s="185"/>
      <c r="C42" s="208" t="str">
        <f>IF(LEN(C32)&gt;5,"ES lėšos:","")</f>
        <v/>
      </c>
      <c r="D42" s="209" t="str">
        <f>IF(LEN(C32)&gt;5,'1_punktas'!D85,"")</f>
        <v/>
      </c>
      <c r="E42" s="210"/>
      <c r="F42" s="211"/>
      <c r="G42" s="197"/>
      <c r="H42"/>
      <c r="K42"/>
      <c r="L42"/>
    </row>
    <row r="43" spans="1:31" s="53" customFormat="1" x14ac:dyDescent="0.25">
      <c r="A43" s="184"/>
      <c r="B43" s="212"/>
      <c r="C43" s="213"/>
      <c r="D43" s="214"/>
      <c r="E43" s="215"/>
      <c r="F43" s="216"/>
      <c r="G43" s="217"/>
      <c r="H43"/>
      <c r="K43"/>
      <c r="L43"/>
    </row>
    <row r="44" spans="1:31" s="53" customFormat="1" x14ac:dyDescent="0.25">
      <c r="A44" s="184"/>
      <c r="B44" s="212"/>
      <c r="C44" s="129" t="s">
        <v>21</v>
      </c>
      <c r="D44" s="130" t="str">
        <f>INDEX(klaidos!B94:B96,SMALL(klaidos!D94:D96,1),1)</f>
        <v>Lentelė nepildoma (pašalinkite perteklinę informaciją ir žymėjimus)</v>
      </c>
      <c r="E44" s="215"/>
      <c r="F44" s="216"/>
      <c r="G44" s="217"/>
      <c r="H44"/>
      <c r="K44"/>
      <c r="L44"/>
    </row>
    <row r="45" spans="1:31" s="53" customFormat="1" x14ac:dyDescent="0.25">
      <c r="A45" s="184"/>
      <c r="B45" s="218"/>
      <c r="C45" s="219"/>
      <c r="D45" s="220"/>
      <c r="E45" s="221"/>
      <c r="F45" s="222"/>
      <c r="G45" s="223"/>
      <c r="H45"/>
      <c r="K45"/>
      <c r="L45"/>
    </row>
    <row r="46" spans="1:31" s="53" customFormat="1" x14ac:dyDescent="0.25">
      <c r="A46" s="224"/>
      <c r="B46" s="225"/>
      <c r="C46" s="226"/>
      <c r="D46" s="226"/>
      <c r="E46" s="226"/>
      <c r="F46" s="226"/>
      <c r="G46" s="227"/>
      <c r="H46"/>
      <c r="K46"/>
      <c r="L46"/>
    </row>
    <row r="47" spans="1:31" s="53" customFormat="1" ht="27.95" customHeight="1" x14ac:dyDescent="0.25">
      <c r="A47" s="228"/>
      <c r="B47" s="218"/>
      <c r="C47" s="593" t="s">
        <v>94</v>
      </c>
      <c r="D47" s="593"/>
      <c r="E47" s="593"/>
      <c r="F47" s="593"/>
      <c r="G47" s="57"/>
      <c r="H47"/>
      <c r="K47"/>
      <c r="L47"/>
    </row>
    <row r="48" spans="1:31" x14ac:dyDescent="0.25">
      <c r="A48" s="229"/>
      <c r="B48" s="230"/>
      <c r="C48" s="42"/>
      <c r="D48" s="42"/>
      <c r="E48" s="42"/>
      <c r="F48" s="42"/>
      <c r="G48" s="57"/>
    </row>
    <row r="49" spans="1:7" x14ac:dyDescent="0.25">
      <c r="A49" s="229"/>
      <c r="B49" s="230"/>
      <c r="C49" s="42"/>
      <c r="D49" s="42"/>
      <c r="E49" s="42"/>
      <c r="F49" s="42"/>
      <c r="G49" s="57"/>
    </row>
    <row r="50" spans="1:7" x14ac:dyDescent="0.25">
      <c r="A50" s="229"/>
      <c r="B50" s="230"/>
      <c r="C50" s="42"/>
      <c r="D50" s="42"/>
      <c r="E50" s="42"/>
      <c r="F50" s="42"/>
      <c r="G50" s="57"/>
    </row>
    <row r="51" spans="1:7" x14ac:dyDescent="0.25">
      <c r="A51" s="229"/>
      <c r="B51" s="230"/>
      <c r="C51" s="42"/>
      <c r="D51" s="42"/>
      <c r="E51" s="42"/>
      <c r="F51" s="42"/>
      <c r="G51" s="57"/>
    </row>
    <row r="52" spans="1:7" x14ac:dyDescent="0.25">
      <c r="A52" s="229"/>
      <c r="B52" s="230"/>
      <c r="C52" s="42"/>
      <c r="D52" s="42"/>
      <c r="E52" s="42"/>
      <c r="F52" s="42"/>
      <c r="G52" s="57"/>
    </row>
    <row r="53" spans="1:7" x14ac:dyDescent="0.25">
      <c r="A53" s="229"/>
      <c r="B53" s="230"/>
      <c r="C53" s="42"/>
      <c r="D53" s="42"/>
      <c r="E53" s="42"/>
      <c r="F53" s="42"/>
      <c r="G53" s="57"/>
    </row>
    <row r="54" spans="1:7" x14ac:dyDescent="0.25">
      <c r="A54" s="229"/>
      <c r="B54" s="230"/>
      <c r="C54" s="42"/>
      <c r="D54" s="42"/>
      <c r="E54" s="42"/>
      <c r="F54" s="42"/>
      <c r="G54" s="57"/>
    </row>
    <row r="55" spans="1:7" x14ac:dyDescent="0.25">
      <c r="A55" s="229"/>
      <c r="B55" s="230"/>
      <c r="C55" s="42"/>
      <c r="D55" s="42"/>
      <c r="E55" s="42"/>
      <c r="F55" s="42"/>
      <c r="G55" s="57"/>
    </row>
    <row r="56" spans="1:7" x14ac:dyDescent="0.25">
      <c r="A56" s="229"/>
      <c r="B56" s="230"/>
      <c r="C56" s="42"/>
      <c r="D56" s="42"/>
      <c r="E56" s="42"/>
      <c r="F56" s="42"/>
      <c r="G56" s="57"/>
    </row>
    <row r="57" spans="1:7" x14ac:dyDescent="0.25">
      <c r="A57" s="229"/>
      <c r="B57" s="230"/>
      <c r="C57" s="42"/>
      <c r="D57" s="42"/>
      <c r="E57" s="42"/>
      <c r="F57" s="42"/>
      <c r="G57" s="57"/>
    </row>
    <row r="58" spans="1:7" x14ac:dyDescent="0.25">
      <c r="A58" s="229"/>
      <c r="B58" s="230"/>
      <c r="C58" s="42"/>
      <c r="D58" s="42"/>
      <c r="E58" s="42"/>
      <c r="F58" s="42"/>
      <c r="G58" s="57"/>
    </row>
    <row r="59" spans="1:7" x14ac:dyDescent="0.25">
      <c r="A59" s="229"/>
      <c r="B59" s="230"/>
      <c r="C59" s="42"/>
      <c r="D59" s="42"/>
      <c r="E59" s="42"/>
      <c r="F59" s="42"/>
      <c r="G59" s="57"/>
    </row>
    <row r="60" spans="1:7" x14ac:dyDescent="0.25">
      <c r="A60" s="229"/>
      <c r="B60" s="230"/>
      <c r="C60" s="42"/>
      <c r="D60" s="42"/>
      <c r="E60" s="42"/>
      <c r="F60" s="42"/>
      <c r="G60" s="57"/>
    </row>
    <row r="61" spans="1:7" x14ac:dyDescent="0.25">
      <c r="A61" s="229"/>
      <c r="B61" s="230"/>
      <c r="C61" s="42"/>
      <c r="D61" s="42"/>
      <c r="E61" s="42"/>
      <c r="F61" s="42"/>
      <c r="G61" s="57"/>
    </row>
    <row r="62" spans="1:7" x14ac:dyDescent="0.25">
      <c r="A62" s="229"/>
      <c r="B62" s="230"/>
      <c r="C62" s="42"/>
      <c r="D62" s="42"/>
      <c r="E62" s="42"/>
      <c r="F62" s="42"/>
      <c r="G62" s="57"/>
    </row>
    <row r="63" spans="1:7" x14ac:dyDescent="0.25">
      <c r="A63" s="229"/>
      <c r="B63" s="230"/>
      <c r="C63" s="42"/>
      <c r="D63" s="42"/>
      <c r="E63" s="42"/>
      <c r="F63" s="42"/>
      <c r="G63" s="57"/>
    </row>
    <row r="64" spans="1:7" x14ac:dyDescent="0.25">
      <c r="A64" s="229"/>
      <c r="B64" s="230"/>
      <c r="C64" s="42"/>
      <c r="D64" s="42"/>
      <c r="E64" s="42"/>
      <c r="F64" s="42"/>
      <c r="G64" s="57"/>
    </row>
    <row r="65" spans="1:7" x14ac:dyDescent="0.25">
      <c r="A65" s="229"/>
      <c r="B65" s="230"/>
      <c r="C65" s="42"/>
      <c r="D65" s="42"/>
      <c r="E65" s="42"/>
      <c r="F65" s="42"/>
      <c r="G65" s="57"/>
    </row>
    <row r="66" spans="1:7" x14ac:dyDescent="0.25">
      <c r="A66" s="229"/>
      <c r="B66" s="230"/>
      <c r="C66" s="42"/>
      <c r="D66" s="42"/>
      <c r="E66" s="42"/>
      <c r="F66" s="42"/>
      <c r="G66" s="57"/>
    </row>
    <row r="67" spans="1:7" x14ac:dyDescent="0.25">
      <c r="A67" s="229"/>
      <c r="B67" s="230"/>
      <c r="C67" s="42"/>
      <c r="D67" s="42"/>
      <c r="E67" s="42"/>
      <c r="F67" s="42"/>
      <c r="G67" s="57"/>
    </row>
    <row r="68" spans="1:7" x14ac:dyDescent="0.25">
      <c r="A68" s="229"/>
      <c r="B68" s="230"/>
      <c r="C68" s="42"/>
      <c r="D68" s="42"/>
      <c r="E68" s="42"/>
      <c r="F68" s="42"/>
      <c r="G68" s="57"/>
    </row>
    <row r="69" spans="1:7" x14ac:dyDescent="0.25">
      <c r="A69" s="229"/>
      <c r="B69" s="230"/>
      <c r="C69" s="42"/>
      <c r="D69" s="42"/>
      <c r="E69" s="42"/>
      <c r="F69" s="42"/>
      <c r="G69" s="57"/>
    </row>
    <row r="70" spans="1:7" x14ac:dyDescent="0.25">
      <c r="A70" s="229"/>
      <c r="B70" s="230"/>
      <c r="C70" s="42"/>
      <c r="D70" s="42"/>
      <c r="E70" s="42"/>
      <c r="F70" s="42"/>
      <c r="G70" s="57"/>
    </row>
    <row r="71" spans="1:7" x14ac:dyDescent="0.25">
      <c r="A71" s="229"/>
      <c r="B71" s="230"/>
      <c r="C71" s="42"/>
      <c r="D71" s="42"/>
      <c r="E71" s="42"/>
      <c r="F71" s="42"/>
      <c r="G71" s="57"/>
    </row>
    <row r="72" spans="1:7" x14ac:dyDescent="0.25">
      <c r="A72" s="229"/>
      <c r="B72" s="230"/>
      <c r="C72" s="42"/>
      <c r="D72" s="42"/>
      <c r="E72" s="42"/>
      <c r="F72" s="42"/>
      <c r="G72" s="57"/>
    </row>
    <row r="73" spans="1:7" x14ac:dyDescent="0.25">
      <c r="A73" s="229"/>
      <c r="B73" s="230"/>
      <c r="C73" s="42"/>
      <c r="D73" s="42"/>
      <c r="E73" s="42"/>
      <c r="F73" s="42"/>
      <c r="G73" s="57"/>
    </row>
    <row r="74" spans="1:7" x14ac:dyDescent="0.25">
      <c r="A74" s="229"/>
      <c r="B74" s="230"/>
      <c r="C74" s="42"/>
      <c r="D74" s="42"/>
      <c r="E74" s="42"/>
      <c r="F74" s="42"/>
      <c r="G74" s="57"/>
    </row>
    <row r="75" spans="1:7" x14ac:dyDescent="0.25">
      <c r="A75" s="229"/>
      <c r="B75" s="239"/>
      <c r="C75" s="58"/>
      <c r="D75" s="58"/>
      <c r="E75" s="58"/>
      <c r="F75" s="58"/>
      <c r="G75" s="59"/>
    </row>
    <row r="76" spans="1:7" x14ac:dyDescent="0.25">
      <c r="A76" s="240"/>
      <c r="C76" s="241"/>
    </row>
    <row r="77" spans="1:7" x14ac:dyDescent="0.25">
      <c r="A77" s="240"/>
    </row>
    <row r="78" spans="1:7" x14ac:dyDescent="0.25">
      <c r="A78" s="240"/>
    </row>
    <row r="80" spans="1:7" x14ac:dyDescent="0.25">
      <c r="C80"/>
      <c r="D80"/>
      <c r="E80"/>
      <c r="F80"/>
    </row>
    <row r="81" spans="3:6" x14ac:dyDescent="0.25">
      <c r="C81"/>
      <c r="D81"/>
      <c r="E81"/>
      <c r="F81"/>
    </row>
    <row r="82" spans="3:6" x14ac:dyDescent="0.25">
      <c r="C82"/>
      <c r="D82"/>
      <c r="E82"/>
      <c r="F82"/>
    </row>
    <row r="83" spans="3:6" x14ac:dyDescent="0.25">
      <c r="C83"/>
      <c r="D83"/>
      <c r="E83"/>
      <c r="F83"/>
    </row>
    <row r="84" spans="3:6" x14ac:dyDescent="0.25">
      <c r="C84"/>
      <c r="D84"/>
      <c r="E84"/>
      <c r="F84"/>
    </row>
    <row r="85" spans="3:6" x14ac:dyDescent="0.25">
      <c r="C85"/>
      <c r="D85"/>
      <c r="E85"/>
      <c r="F85"/>
    </row>
    <row r="86" spans="3:6" x14ac:dyDescent="0.25">
      <c r="C86"/>
      <c r="D86"/>
      <c r="E86"/>
      <c r="F86"/>
    </row>
    <row r="87" spans="3:6" x14ac:dyDescent="0.25">
      <c r="C87"/>
      <c r="D87"/>
      <c r="E87"/>
      <c r="F87"/>
    </row>
    <row r="88" spans="3:6" x14ac:dyDescent="0.25">
      <c r="C88"/>
      <c r="D88"/>
      <c r="E88"/>
      <c r="F88"/>
    </row>
    <row r="89" spans="3:6" x14ac:dyDescent="0.25">
      <c r="C89"/>
      <c r="D89"/>
      <c r="E89"/>
      <c r="F89"/>
    </row>
    <row r="90" spans="3:6" x14ac:dyDescent="0.25">
      <c r="C90"/>
      <c r="D90"/>
      <c r="E90"/>
      <c r="F90"/>
    </row>
  </sheetData>
  <mergeCells count="4">
    <mergeCell ref="C2:F2"/>
    <mergeCell ref="C15:E15"/>
    <mergeCell ref="C34:E34"/>
    <mergeCell ref="C47:F47"/>
  </mergeCells>
  <conditionalFormatting sqref="D13:F13">
    <cfRule type="notContainsText" dxfId="24" priority="11" operator="notContains" text="Teisingai">
      <formula>ISERROR(SEARCH("Teisingai",D13))</formula>
    </cfRule>
  </conditionalFormatting>
  <conditionalFormatting sqref="D29">
    <cfRule type="notContainsText" dxfId="23" priority="10" operator="notContains" text="Teisingai">
      <formula>ISERROR(SEARCH("Teisingai",D29))</formula>
    </cfRule>
  </conditionalFormatting>
  <conditionalFormatting sqref="D44">
    <cfRule type="notContainsText" dxfId="22" priority="1" operator="notContains" text="Teisingai">
      <formula>ISERROR(SEARCH("Teisingai",D44))</formula>
    </cfRule>
  </conditionalFormatting>
  <conditionalFormatting sqref="C17:C20">
    <cfRule type="containsText" dxfId="21" priority="12" operator="containsText" text="Nepildoma">
      <formula>NOT(ISERROR(SEARCH("Nepildoma",C17)))</formula>
    </cfRule>
  </conditionalFormatting>
  <conditionalFormatting sqref="C31:C42">
    <cfRule type="containsText" dxfId="20" priority="2" operator="containsText" text="Nepildoma">
      <formula>NOT(ISERROR(SEARCH("Nepildoma",C31)))</formula>
    </cfRule>
  </conditionalFormatting>
  <conditionalFormatting sqref="C32:C35">
    <cfRule type="containsText" dxfId="19" priority="3" operator="containsText" text="Nepildoma">
      <formula>NOT(ISERROR(SEARCH("Nepildoma",C32)))</formula>
    </cfRule>
  </conditionalFormatting>
  <conditionalFormatting sqref="F3:H6 F7:G12 F14:G14 F15:H15 F17:H20 H7:H8">
    <cfRule type="containsText" dxfId="18" priority="15" operator="containsText" text="Teisingai">
      <formula>NOT(ISERROR(SEARCH("Teisingai",F3)))</formula>
    </cfRule>
    <cfRule type="containsText" dxfId="17" priority="16" operator="containsText" text="Patikrinkite">
      <formula>NOT(ISERROR(SEARCH("Patikrinkite",F3)))</formula>
    </cfRule>
    <cfRule type="containsText" dxfId="16" priority="17" operator="containsText" text="Patikrinkite">
      <formula>NOT(ISERROR(SEARCH("Patikrinkite",F3)))</formula>
    </cfRule>
  </conditionalFormatting>
  <conditionalFormatting sqref="C6:F12">
    <cfRule type="notContainsBlanks" dxfId="15" priority="14">
      <formula>LEN(TRIM(C6))&gt;0</formula>
    </cfRule>
  </conditionalFormatting>
  <conditionalFormatting sqref="C10:F12">
    <cfRule type="expression" dxfId="14" priority="7">
      <formula>$L$10=TRUE</formula>
    </cfRule>
  </conditionalFormatting>
  <conditionalFormatting sqref="F10:G12">
    <cfRule type="expression" dxfId="13" priority="8">
      <formula>$L$10=TRUE</formula>
    </cfRule>
  </conditionalFormatting>
  <dataValidations count="7">
    <dataValidation type="textLength" allowBlank="1" showInputMessage="1" showErrorMessage="1" sqref="D21">
      <formula1>3</formula1>
      <formula2>4</formula2>
    </dataValidation>
    <dataValidation type="decimal" allowBlank="1" showInputMessage="1" showErrorMessage="1" sqref="F38:F41">
      <formula1>0</formula1>
      <formula2>D38</formula2>
    </dataValidation>
    <dataValidation type="textLength" allowBlank="1" showInputMessage="1" showErrorMessage="1" sqref="D11">
      <formula1>6</formula1>
      <formula2>9</formula2>
    </dataValidation>
    <dataValidation allowBlank="1" showInputMessage="1" showErrorMessage="1" sqref="C28:F28 D32:F32 C33:F33 C34:E34 C35:G36"/>
    <dataValidation type="textLength" allowBlank="1" showInputMessage="1" showErrorMessage="1" sqref="F11">
      <formula1>5</formula1>
      <formula2>8</formula2>
    </dataValidation>
    <dataValidation type="textLength" allowBlank="1" showInputMessage="1" showErrorMessage="1" sqref="D22">
      <formula1>1</formula1>
      <formula2>2</formula2>
    </dataValidation>
    <dataValidation type="textLength" allowBlank="1" showInputMessage="1" showErrorMessage="1" sqref="D23">
      <formula1>5</formula1>
      <formula2>7</formula2>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65" r:id="rId4" name="Check Box 49">
              <controlPr defaultSize="0" autoFill="0" autoLine="0" autoPict="0">
                <anchor moveWithCells="1">
                  <from>
                    <xdr:col>1</xdr:col>
                    <xdr:colOff>28575</xdr:colOff>
                    <xdr:row>20</xdr:row>
                    <xdr:rowOff>38100</xdr:rowOff>
                  </from>
                  <to>
                    <xdr:col>2</xdr:col>
                    <xdr:colOff>0</xdr:colOff>
                    <xdr:row>20</xdr:row>
                    <xdr:rowOff>266700</xdr:rowOff>
                  </to>
                </anchor>
              </controlPr>
            </control>
          </mc:Choice>
        </mc:AlternateContent>
        <mc:AlternateContent xmlns:mc="http://schemas.openxmlformats.org/markup-compatibility/2006">
          <mc:Choice Requires="x14">
            <control shapeId="9266" r:id="rId5" name="Check Box 50">
              <controlPr defaultSize="0" autoFill="0" autoLine="0" autoPict="0">
                <anchor moveWithCells="1">
                  <from>
                    <xdr:col>1</xdr:col>
                    <xdr:colOff>28575</xdr:colOff>
                    <xdr:row>21</xdr:row>
                    <xdr:rowOff>133350</xdr:rowOff>
                  </from>
                  <to>
                    <xdr:col>1</xdr:col>
                    <xdr:colOff>333375</xdr:colOff>
                    <xdr:row>21</xdr:row>
                    <xdr:rowOff>352425</xdr:rowOff>
                  </to>
                </anchor>
              </controlPr>
            </control>
          </mc:Choice>
        </mc:AlternateContent>
        <mc:AlternateContent xmlns:mc="http://schemas.openxmlformats.org/markup-compatibility/2006">
          <mc:Choice Requires="x14">
            <control shapeId="9267" r:id="rId6" name="Check Box 51">
              <controlPr defaultSize="0" autoFill="0" autoLine="0" autoPict="0">
                <anchor moveWithCells="1">
                  <from>
                    <xdr:col>1</xdr:col>
                    <xdr:colOff>28575</xdr:colOff>
                    <xdr:row>23</xdr:row>
                    <xdr:rowOff>104775</xdr:rowOff>
                  </from>
                  <to>
                    <xdr:col>1</xdr:col>
                    <xdr:colOff>333375</xdr:colOff>
                    <xdr:row>23</xdr:row>
                    <xdr:rowOff>323850</xdr:rowOff>
                  </to>
                </anchor>
              </controlPr>
            </control>
          </mc:Choice>
        </mc:AlternateContent>
        <mc:AlternateContent xmlns:mc="http://schemas.openxmlformats.org/markup-compatibility/2006">
          <mc:Choice Requires="x14">
            <control shapeId="9268" r:id="rId7" name="Check Box 52">
              <controlPr defaultSize="0" autoFill="0" autoLine="0" autoPict="0">
                <anchor moveWithCells="1">
                  <from>
                    <xdr:col>1</xdr:col>
                    <xdr:colOff>28575</xdr:colOff>
                    <xdr:row>22</xdr:row>
                    <xdr:rowOff>76200</xdr:rowOff>
                  </from>
                  <to>
                    <xdr:col>1</xdr:col>
                    <xdr:colOff>333375</xdr:colOff>
                    <xdr:row>22</xdr:row>
                    <xdr:rowOff>295275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sąrašai!$D$135:$D$137</xm:f>
          </x14:formula1>
          <xm:sqref>C8</xm:sqref>
        </x14:dataValidation>
        <x14:dataValidation type="list" allowBlank="1" showInputMessage="1" showErrorMessage="1">
          <x14:formula1>
            <xm:f>sąrašai!$C$140:$C$141</xm:f>
          </x14:formula1>
          <xm:sqref>D26 D27 F34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61"/>
  <sheetViews>
    <sheetView topLeftCell="A34" zoomScaleNormal="100" zoomScaleSheetLayoutView="100" workbookViewId="0">
      <selection activeCell="E56" sqref="E56"/>
    </sheetView>
  </sheetViews>
  <sheetFormatPr defaultColWidth="9.140625" defaultRowHeight="15" x14ac:dyDescent="0.25"/>
  <cols>
    <col min="1" max="1" width="3.5703125" customWidth="1"/>
    <col min="2" max="2" width="4.7109375" customWidth="1"/>
    <col min="3" max="3" width="40" style="71" customWidth="1"/>
    <col min="4" max="4" width="33.7109375" style="71" customWidth="1"/>
    <col min="5" max="5" width="31.42578125" style="242" customWidth="1"/>
    <col min="6" max="6" width="19.42578125" style="72" customWidth="1"/>
    <col min="9" max="9" width="13.5703125" bestFit="1" customWidth="1"/>
    <col min="13" max="13" width="14" bestFit="1" customWidth="1"/>
    <col min="19" max="19" width="13.42578125" customWidth="1"/>
    <col min="24" max="24" width="9.5703125" bestFit="1" customWidth="1"/>
  </cols>
  <sheetData>
    <row r="2" spans="1:23" x14ac:dyDescent="0.25">
      <c r="C2" s="292" t="str">
        <f>IF('1_punktas'!K32,"","Nepildoma")</f>
        <v>Nepildoma</v>
      </c>
    </row>
    <row r="3" spans="1:23" x14ac:dyDescent="0.25">
      <c r="A3" s="594" t="str">
        <f>UPPER('1_punktas'!D12)&amp;" REGIONO PLĖTROS PLANO KEIČIAMAS PROJEKTAS"</f>
        <v>VILNIAUS REGIONO PLĖTROS PLANO KEIČIAMAS PROJEKTAS</v>
      </c>
      <c r="B3" s="594"/>
      <c r="C3" s="594"/>
      <c r="D3" s="594"/>
      <c r="E3" s="594"/>
      <c r="F3" s="73"/>
    </row>
    <row r="4" spans="1:23" x14ac:dyDescent="0.25">
      <c r="C4" s="293" t="s">
        <v>95</v>
      </c>
      <c r="D4" s="244"/>
      <c r="E4"/>
      <c r="F4" s="73"/>
    </row>
    <row r="5" spans="1:23" x14ac:dyDescent="0.25">
      <c r="C5" s="293"/>
      <c r="D5" s="244"/>
      <c r="E5"/>
      <c r="F5" s="73"/>
    </row>
    <row r="6" spans="1:23" ht="18.95" customHeight="1" x14ac:dyDescent="0.25">
      <c r="C6" s="342" t="s">
        <v>96</v>
      </c>
      <c r="D6" s="350"/>
      <c r="E6"/>
      <c r="F6" s="74" t="b">
        <f t="shared" ref="F6:F37" si="0">ISBLANK(D6)</f>
        <v>1</v>
      </c>
    </row>
    <row r="7" spans="1:23" ht="18.95" customHeight="1" x14ac:dyDescent="0.25">
      <c r="C7" s="342" t="s">
        <v>97</v>
      </c>
      <c r="D7" s="350"/>
      <c r="E7"/>
      <c r="F7" s="74" t="b">
        <f t="shared" si="0"/>
        <v>1</v>
      </c>
    </row>
    <row r="8" spans="1:23" ht="18.95" customHeight="1" x14ac:dyDescent="0.25">
      <c r="C8" s="342" t="s">
        <v>98</v>
      </c>
      <c r="D8" s="350"/>
      <c r="E8"/>
      <c r="F8" s="74" t="b">
        <f t="shared" si="0"/>
        <v>1</v>
      </c>
    </row>
    <row r="9" spans="1:23" x14ac:dyDescent="0.25">
      <c r="C9" s="343" t="s">
        <v>16</v>
      </c>
      <c r="D9" s="351"/>
      <c r="E9"/>
      <c r="F9" s="74" t="b">
        <f t="shared" si="0"/>
        <v>1</v>
      </c>
      <c r="I9" s="79" t="s">
        <v>99</v>
      </c>
      <c r="J9" s="18"/>
      <c r="K9" s="18"/>
      <c r="L9" s="18"/>
      <c r="M9" s="18"/>
      <c r="N9" s="80"/>
      <c r="O9" s="80"/>
      <c r="P9" s="81"/>
      <c r="Q9" s="81"/>
      <c r="W9" t="s">
        <v>100</v>
      </c>
    </row>
    <row r="10" spans="1:23" x14ac:dyDescent="0.25">
      <c r="C10" s="343" t="s">
        <v>101</v>
      </c>
      <c r="D10" s="351"/>
      <c r="E10"/>
      <c r="F10" s="74" t="b">
        <f t="shared" si="0"/>
        <v>1</v>
      </c>
      <c r="I10" s="82" t="str">
        <f>VLOOKUP('1_punktas'!D12,sąrašai!C90:G99,5)</f>
        <v>R10</v>
      </c>
      <c r="T10" s="89" t="str">
        <f>IFERROR(INDEX(sąrašai!C73:E84,MATCH(D13,sąrašai!C73:C83,0),3),"C")</f>
        <v>C</v>
      </c>
      <c r="U10" s="90" t="str">
        <f>IF(OR(T10&lt;&gt;"B",T10&lt;&gt;"C"),IF(AND(T10="A",D27&gt;0),LEFT(D15,3),RIGHT(D15,3)),"A")</f>
        <v/>
      </c>
      <c r="W10">
        <v>1000</v>
      </c>
    </row>
    <row r="11" spans="1:23" x14ac:dyDescent="0.25">
      <c r="C11" s="343" t="s">
        <v>102</v>
      </c>
      <c r="D11" s="351"/>
      <c r="E11"/>
      <c r="F11" s="74" t="b">
        <f t="shared" si="0"/>
        <v>1</v>
      </c>
    </row>
    <row r="12" spans="1:23" x14ac:dyDescent="0.25">
      <c r="A12" s="75"/>
      <c r="C12" s="344" t="s">
        <v>103</v>
      </c>
      <c r="D12" s="351"/>
      <c r="E12"/>
      <c r="F12" s="74" t="b">
        <f t="shared" si="0"/>
        <v>1</v>
      </c>
      <c r="G12" s="63"/>
      <c r="U12" t="s">
        <v>104</v>
      </c>
    </row>
    <row r="13" spans="1:23" x14ac:dyDescent="0.25">
      <c r="A13" s="75"/>
      <c r="C13" s="344" t="s">
        <v>105</v>
      </c>
      <c r="D13" s="351"/>
      <c r="E13"/>
      <c r="F13" s="74" t="b">
        <f t="shared" si="0"/>
        <v>1</v>
      </c>
      <c r="G13" s="63"/>
    </row>
    <row r="14" spans="1:23" x14ac:dyDescent="0.25">
      <c r="A14" s="75"/>
      <c r="C14" s="344" t="s">
        <v>106</v>
      </c>
      <c r="D14" s="351"/>
      <c r="E14"/>
      <c r="F14" s="74" t="b">
        <f t="shared" si="0"/>
        <v>1</v>
      </c>
      <c r="G14" s="63"/>
    </row>
    <row r="15" spans="1:23" x14ac:dyDescent="0.25">
      <c r="A15" s="75"/>
      <c r="C15" s="344" t="s">
        <v>108</v>
      </c>
      <c r="D15" s="351"/>
      <c r="E15"/>
      <c r="F15" s="74" t="b">
        <f t="shared" si="0"/>
        <v>1</v>
      </c>
      <c r="G15" s="63"/>
      <c r="H15" s="49" t="b">
        <f>IF(D15="Nenumatoma naudoti ES lėšų",TRUE,FALSE)</f>
        <v>0</v>
      </c>
    </row>
    <row r="16" spans="1:23" x14ac:dyDescent="0.25">
      <c r="A16" s="75"/>
      <c r="C16" s="344" t="s">
        <v>109</v>
      </c>
      <c r="D16" s="351"/>
      <c r="E16"/>
      <c r="F16" s="74" t="b">
        <f t="shared" si="0"/>
        <v>1</v>
      </c>
      <c r="G16" s="63"/>
    </row>
    <row r="17" spans="1:27" x14ac:dyDescent="0.25">
      <c r="A17" s="75"/>
      <c r="C17" s="344" t="s">
        <v>110</v>
      </c>
      <c r="D17" s="351"/>
      <c r="E17"/>
      <c r="F17" s="74" t="b">
        <f t="shared" si="0"/>
        <v>1</v>
      </c>
      <c r="G17" s="63"/>
    </row>
    <row r="18" spans="1:27" x14ac:dyDescent="0.25">
      <c r="A18" s="75"/>
      <c r="C18" s="344" t="s">
        <v>112</v>
      </c>
      <c r="D18" s="351"/>
      <c r="E18"/>
      <c r="F18" s="74" t="b">
        <f t="shared" si="0"/>
        <v>1</v>
      </c>
      <c r="G18" s="63"/>
    </row>
    <row r="19" spans="1:27" s="70" customFormat="1" x14ac:dyDescent="0.25">
      <c r="A19" s="75"/>
      <c r="C19" s="345"/>
      <c r="D19" s="351"/>
      <c r="E19"/>
      <c r="F19" s="74" t="b">
        <f t="shared" si="0"/>
        <v>1</v>
      </c>
      <c r="G19" s="55"/>
      <c r="K19"/>
      <c r="Z19"/>
      <c r="AA19"/>
    </row>
    <row r="20" spans="1:27" ht="28.5" x14ac:dyDescent="0.25">
      <c r="A20" s="75"/>
      <c r="C20" s="346" t="s">
        <v>113</v>
      </c>
      <c r="D20" s="351"/>
      <c r="E20"/>
      <c r="F20" s="74" t="b">
        <f t="shared" si="0"/>
        <v>1</v>
      </c>
      <c r="G20" s="49"/>
    </row>
    <row r="21" spans="1:27" x14ac:dyDescent="0.25">
      <c r="A21" s="75"/>
      <c r="C21" s="344"/>
      <c r="D21" s="351"/>
      <c r="E21"/>
      <c r="F21" s="74" t="b">
        <f t="shared" si="0"/>
        <v>1</v>
      </c>
      <c r="G21" s="49"/>
    </row>
    <row r="22" spans="1:27" x14ac:dyDescent="0.25">
      <c r="A22" s="75"/>
      <c r="C22" s="344" t="s">
        <v>114</v>
      </c>
      <c r="D22" s="351"/>
      <c r="E22"/>
      <c r="F22" s="74" t="b">
        <f t="shared" si="0"/>
        <v>1</v>
      </c>
      <c r="N22" s="52" t="b">
        <f>IF('1_punktas'!D80-D22&lt;&gt;0,TRUE,FALSE)</f>
        <v>1</v>
      </c>
      <c r="O22" s="53">
        <v>1</v>
      </c>
      <c r="P22" s="53">
        <f t="shared" ref="P22:P27" si="1">IF(N22,O22,"")</f>
        <v>1</v>
      </c>
    </row>
    <row r="23" spans="1:27" x14ac:dyDescent="0.25">
      <c r="A23" s="75"/>
      <c r="C23" s="344" t="s">
        <v>115</v>
      </c>
      <c r="D23" s="351"/>
      <c r="E23"/>
      <c r="F23" s="74" t="b">
        <f t="shared" si="0"/>
        <v>1</v>
      </c>
      <c r="I23" s="83">
        <v>0</v>
      </c>
      <c r="N23" s="52" t="b">
        <f>IF('1_punktas'!D81-D23&lt;&gt;0,TRUE,FALSE)</f>
        <v>0</v>
      </c>
      <c r="O23" s="53">
        <v>2</v>
      </c>
      <c r="P23" s="53" t="str">
        <f t="shared" si="1"/>
        <v/>
      </c>
    </row>
    <row r="24" spans="1:27" x14ac:dyDescent="0.25">
      <c r="A24" s="75"/>
      <c r="C24" s="344" t="s">
        <v>117</v>
      </c>
      <c r="D24" s="351"/>
      <c r="E24"/>
      <c r="F24" s="74" t="b">
        <f t="shared" si="0"/>
        <v>1</v>
      </c>
      <c r="I24" s="83">
        <v>0</v>
      </c>
      <c r="J24" s="52"/>
      <c r="K24" s="52"/>
      <c r="L24" s="52"/>
      <c r="N24" s="52" t="b">
        <f>IF('1_punktas'!D82-D24&lt;&gt;0,TRUE,FALSE)</f>
        <v>0</v>
      </c>
      <c r="O24" s="53">
        <v>3</v>
      </c>
      <c r="P24" s="53" t="str">
        <f t="shared" si="1"/>
        <v/>
      </c>
    </row>
    <row r="25" spans="1:27" x14ac:dyDescent="0.25">
      <c r="A25" s="75"/>
      <c r="C25" s="344" t="s">
        <v>118</v>
      </c>
      <c r="D25" s="351"/>
      <c r="E25"/>
      <c r="F25" s="74" t="b">
        <f t="shared" si="0"/>
        <v>1</v>
      </c>
      <c r="I25" s="83">
        <v>0</v>
      </c>
      <c r="J25" s="52"/>
      <c r="K25" s="52"/>
      <c r="L25" s="84"/>
      <c r="M25" s="84"/>
      <c r="N25" s="52" t="b">
        <f>IF('1_punktas'!D83-D25&lt;&gt;0,TRUE,FALSE)</f>
        <v>1</v>
      </c>
      <c r="O25" s="53">
        <v>4</v>
      </c>
      <c r="P25" s="53">
        <f t="shared" si="1"/>
        <v>4</v>
      </c>
    </row>
    <row r="26" spans="1:27" ht="15" customHeight="1" x14ac:dyDescent="0.25">
      <c r="A26" s="75"/>
      <c r="C26" s="344" t="s">
        <v>42</v>
      </c>
      <c r="D26" s="351"/>
      <c r="E26"/>
      <c r="F26" s="74" t="b">
        <f t="shared" si="0"/>
        <v>1</v>
      </c>
      <c r="G26" s="76"/>
      <c r="I26" s="83">
        <v>8.26</v>
      </c>
      <c r="N26" s="52" t="b">
        <f>IF('1_punktas'!D84-D26&lt;&gt;0,TRUE,FALSE)</f>
        <v>0</v>
      </c>
      <c r="O26" s="53">
        <v>5</v>
      </c>
      <c r="P26" s="53" t="str">
        <f t="shared" si="1"/>
        <v/>
      </c>
    </row>
    <row r="27" spans="1:27" x14ac:dyDescent="0.25">
      <c r="A27" s="75"/>
      <c r="C27" s="344" t="s">
        <v>119</v>
      </c>
      <c r="D27" s="351"/>
      <c r="E27"/>
      <c r="F27" s="74" t="b">
        <f t="shared" si="0"/>
        <v>1</v>
      </c>
      <c r="I27" s="83">
        <v>91.74</v>
      </c>
      <c r="N27" s="52" t="b">
        <f>IF('1_punktas'!D85-D27&lt;&gt;0,TRUE,FALSE)</f>
        <v>0</v>
      </c>
      <c r="O27" s="53">
        <v>6</v>
      </c>
      <c r="P27" s="53" t="str">
        <f t="shared" si="1"/>
        <v/>
      </c>
    </row>
    <row r="28" spans="1:27" x14ac:dyDescent="0.25">
      <c r="A28" s="75"/>
      <c r="C28" s="344"/>
      <c r="D28" s="351"/>
      <c r="E28"/>
      <c r="F28" s="74" t="b">
        <f t="shared" si="0"/>
        <v>1</v>
      </c>
      <c r="M28" s="52" t="s">
        <v>120</v>
      </c>
      <c r="N28" s="52" t="s">
        <v>121</v>
      </c>
      <c r="O28" s="53" t="s">
        <v>122</v>
      </c>
      <c r="T28" s="53" t="s">
        <v>123</v>
      </c>
      <c r="U28" s="53" t="s">
        <v>124</v>
      </c>
      <c r="V28" s="53" t="s">
        <v>125</v>
      </c>
    </row>
    <row r="29" spans="1:27" x14ac:dyDescent="0.25">
      <c r="A29" s="75"/>
      <c r="C29" s="344" t="s">
        <v>934</v>
      </c>
      <c r="D29" s="351" t="s">
        <v>938</v>
      </c>
      <c r="E29" s="290">
        <v>43708</v>
      </c>
      <c r="F29" s="74" t="b">
        <f t="shared" si="0"/>
        <v>0</v>
      </c>
      <c r="G29" t="b">
        <f>ISNUMBER(E29)</f>
        <v>1</v>
      </c>
      <c r="H29" s="49">
        <f t="shared" ref="H29:H31" si="2">ROUNDUP(MONTH(E29)/3,0)</f>
        <v>3</v>
      </c>
      <c r="I29" s="52">
        <f>VALUE(LEFT(D29,4))</f>
        <v>2016</v>
      </c>
      <c r="J29" s="52" t="b">
        <f>IF('1_punktas'!D89=D29,TRUE,FALSE)</f>
        <v>0</v>
      </c>
      <c r="K29" s="52">
        <v>1</v>
      </c>
      <c r="L29" s="52">
        <f>('1_punktas'!J84-I29)*4+'1_punktas'!I84-H29</f>
        <v>-466</v>
      </c>
      <c r="M29" s="52" t="b">
        <f>IF(LEN(D29)&gt;0,TRUE,FALSE)</f>
        <v>1</v>
      </c>
      <c r="N29" s="52" t="b">
        <f>IF(LEN('1_punktas'!D89)&gt;0,TRUE,FALSE)</f>
        <v>0</v>
      </c>
      <c r="O29" s="53" t="b">
        <f>L29&lt;&gt;0</f>
        <v>1</v>
      </c>
      <c r="P29" s="53" t="b">
        <f t="shared" ref="P29:P32" si="3">AND(M29:O29)</f>
        <v>0</v>
      </c>
      <c r="Q29" s="53" t="str">
        <f t="shared" ref="Q29:Q32" si="4">IF(P29,K29,"–")</f>
        <v>–</v>
      </c>
      <c r="R29" s="53" t="str">
        <f t="shared" ref="R29:R32" si="5">IF(L29&gt;0,"Nukeliama","Paankstinama")</f>
        <v>Paankstinama</v>
      </c>
      <c r="T29" s="53">
        <f t="shared" ref="T29:T32" si="6">ABS(ROUNDDOWN(L29/4,0))</f>
        <v>116</v>
      </c>
      <c r="U29" s="53">
        <f t="shared" ref="U29:U32" si="7">ABS(L29)-(T29*4)</f>
        <v>2</v>
      </c>
      <c r="V29" s="53" t="b">
        <f t="shared" ref="V29:V32" si="8">AND(P29,L29&gt;4)</f>
        <v>0</v>
      </c>
    </row>
    <row r="30" spans="1:27" ht="30" x14ac:dyDescent="0.25">
      <c r="A30" s="75"/>
      <c r="C30" s="344" t="s">
        <v>935</v>
      </c>
      <c r="D30" s="351" t="s">
        <v>939</v>
      </c>
      <c r="E30" s="290">
        <v>42029</v>
      </c>
      <c r="F30" s="74" t="b">
        <f t="shared" si="0"/>
        <v>0</v>
      </c>
      <c r="G30" t="b">
        <f t="shared" ref="G30:G32" si="9">ISNUMBER(E30)</f>
        <v>1</v>
      </c>
      <c r="H30" s="49">
        <f t="shared" si="2"/>
        <v>1</v>
      </c>
      <c r="I30" s="52">
        <f>VALUE(LEFT(D30,4))</f>
        <v>2017</v>
      </c>
      <c r="J30" s="52" t="b">
        <f>IF('1_punktas'!D90=D30,TRUE)</f>
        <v>0</v>
      </c>
      <c r="K30" s="52">
        <v>2</v>
      </c>
      <c r="L30" s="52">
        <f>('1_punktas'!J85-I30)*4+'1_punktas'!I85-H30</f>
        <v>-468</v>
      </c>
      <c r="M30" s="52" t="b">
        <f>IF(LEN(D30)&gt;0,TRUE,FALSE)</f>
        <v>1</v>
      </c>
      <c r="N30" s="52" t="b">
        <f>IF(LEN('1_punktas'!D90)&gt;0,TRUE,FALSE)</f>
        <v>0</v>
      </c>
      <c r="O30" s="53" t="b">
        <f t="shared" ref="O30:O32" si="10">L30&lt;&gt;0</f>
        <v>1</v>
      </c>
      <c r="P30" s="53" t="b">
        <f t="shared" si="3"/>
        <v>0</v>
      </c>
      <c r="Q30" s="53" t="str">
        <f t="shared" si="4"/>
        <v>–</v>
      </c>
      <c r="R30" s="53" t="str">
        <f t="shared" si="5"/>
        <v>Paankstinama</v>
      </c>
      <c r="T30" s="53">
        <f t="shared" si="6"/>
        <v>117</v>
      </c>
      <c r="U30" s="53">
        <f t="shared" si="7"/>
        <v>0</v>
      </c>
      <c r="V30" s="53" t="b">
        <f t="shared" si="8"/>
        <v>0</v>
      </c>
    </row>
    <row r="31" spans="1:27" x14ac:dyDescent="0.25">
      <c r="A31" s="75"/>
      <c r="C31" s="344" t="s">
        <v>936</v>
      </c>
      <c r="D31" s="351" t="s">
        <v>940</v>
      </c>
      <c r="E31" s="290">
        <v>42825</v>
      </c>
      <c r="F31" s="74" t="b">
        <f t="shared" si="0"/>
        <v>0</v>
      </c>
      <c r="G31" t="b">
        <f t="shared" si="9"/>
        <v>1</v>
      </c>
      <c r="H31" s="49">
        <f t="shared" si="2"/>
        <v>1</v>
      </c>
      <c r="I31" s="52">
        <f>VALUE(LEFT(D31,4))</f>
        <v>2017</v>
      </c>
      <c r="J31" s="52" t="b">
        <f>IF('1_punktas'!D91=D31,TRUE)</f>
        <v>0</v>
      </c>
      <c r="K31" s="52">
        <v>3</v>
      </c>
      <c r="L31" s="52">
        <f>('1_punktas'!J87-I31)*4+'1_punktas'!I87-H31</f>
        <v>-468</v>
      </c>
      <c r="M31" s="52" t="b">
        <f>IF(LEN(D31)&gt;0,TRUE,FALSE)</f>
        <v>1</v>
      </c>
      <c r="N31" s="52" t="b">
        <f>IF(LEN('1_punktas'!D91)&gt;0,TRUE,FALSE)</f>
        <v>0</v>
      </c>
      <c r="O31" s="53" t="b">
        <f t="shared" si="10"/>
        <v>1</v>
      </c>
      <c r="P31" s="53" t="b">
        <f t="shared" si="3"/>
        <v>0</v>
      </c>
      <c r="Q31" s="53" t="str">
        <f t="shared" si="4"/>
        <v>–</v>
      </c>
      <c r="R31" s="53" t="str">
        <f t="shared" si="5"/>
        <v>Paankstinama</v>
      </c>
      <c r="T31" s="53">
        <f t="shared" si="6"/>
        <v>117</v>
      </c>
      <c r="U31" s="53">
        <f t="shared" si="7"/>
        <v>0</v>
      </c>
      <c r="V31" s="53" t="b">
        <f t="shared" si="8"/>
        <v>0</v>
      </c>
    </row>
    <row r="32" spans="1:27" x14ac:dyDescent="0.25">
      <c r="A32" s="75"/>
      <c r="C32" s="344" t="s">
        <v>126</v>
      </c>
      <c r="D32" s="351">
        <v>2017</v>
      </c>
      <c r="E32" s="290">
        <v>42826</v>
      </c>
      <c r="F32" s="74" t="b">
        <f t="shared" si="0"/>
        <v>0</v>
      </c>
      <c r="G32" t="b">
        <f t="shared" si="9"/>
        <v>1</v>
      </c>
      <c r="H32" s="49">
        <f>4</f>
        <v>4</v>
      </c>
      <c r="I32" s="52">
        <f>VALUE(LEFT(D32,4))</f>
        <v>2017</v>
      </c>
      <c r="J32" s="52" t="b">
        <f>IF('1_punktas'!D92=D32,TRUE)</f>
        <v>0</v>
      </c>
      <c r="K32" s="52">
        <v>4</v>
      </c>
      <c r="L32" s="52">
        <f>('1_punktas'!J88-I32)*4+'1_punktas'!I88-H32</f>
        <v>-468</v>
      </c>
      <c r="M32" s="52" t="b">
        <f>IF(LEN(D32)&gt;0,TRUE,FALSE)</f>
        <v>1</v>
      </c>
      <c r="N32" s="52" t="b">
        <f>IF(LEN('1_punktas'!D92)&gt;0,TRUE,FALSE)</f>
        <v>0</v>
      </c>
      <c r="O32" s="53" t="b">
        <f t="shared" si="10"/>
        <v>1</v>
      </c>
      <c r="P32" s="53" t="b">
        <f t="shared" si="3"/>
        <v>0</v>
      </c>
      <c r="Q32" s="53" t="str">
        <f t="shared" si="4"/>
        <v>–</v>
      </c>
      <c r="R32" s="53" t="str">
        <f t="shared" si="5"/>
        <v>Paankstinama</v>
      </c>
      <c r="T32" s="53">
        <f t="shared" si="6"/>
        <v>117</v>
      </c>
      <c r="U32" s="53">
        <f t="shared" si="7"/>
        <v>0</v>
      </c>
      <c r="V32" s="53" t="b">
        <f t="shared" si="8"/>
        <v>0</v>
      </c>
    </row>
    <row r="33" spans="1:22" x14ac:dyDescent="0.25">
      <c r="A33" s="77"/>
      <c r="C33" s="345"/>
      <c r="D33" s="351"/>
      <c r="E33" s="132"/>
      <c r="F33" s="74" t="b">
        <f t="shared" si="0"/>
        <v>1</v>
      </c>
      <c r="H33" s="49"/>
      <c r="I33" s="52"/>
      <c r="J33" s="52"/>
      <c r="K33" s="52"/>
      <c r="L33" s="52"/>
      <c r="M33" s="52"/>
      <c r="N33" s="52"/>
      <c r="O33" s="53"/>
      <c r="P33" s="53"/>
      <c r="Q33" s="53"/>
      <c r="R33" s="53"/>
      <c r="T33" s="53"/>
      <c r="U33" s="53"/>
      <c r="V33" s="53"/>
    </row>
    <row r="34" spans="1:22" x14ac:dyDescent="0.25">
      <c r="A34" s="75"/>
      <c r="C34" s="346" t="s">
        <v>127</v>
      </c>
      <c r="D34" s="352"/>
      <c r="E34" s="132"/>
      <c r="F34" s="74" t="b">
        <f t="shared" si="0"/>
        <v>1</v>
      </c>
      <c r="G34" s="49"/>
      <c r="I34" s="52"/>
    </row>
    <row r="35" spans="1:22" x14ac:dyDescent="0.25">
      <c r="A35" s="75"/>
      <c r="C35" s="344" t="s">
        <v>58</v>
      </c>
      <c r="D35" s="352"/>
      <c r="E35" s="132"/>
      <c r="F35" s="74" t="b">
        <f t="shared" si="0"/>
        <v>1</v>
      </c>
      <c r="G35" s="49"/>
      <c r="I35" s="85" t="b">
        <f>ISTEXT(VLOOKUP($D$15,Rodikliai!$A$2:$N$79,5,FALSE))</f>
        <v>0</v>
      </c>
    </row>
    <row r="36" spans="1:22" ht="54" customHeight="1" x14ac:dyDescent="0.25">
      <c r="A36" s="75"/>
      <c r="C36" s="344" t="s">
        <v>59</v>
      </c>
      <c r="D36" s="352"/>
      <c r="E36" s="132"/>
      <c r="F36" s="74" t="b">
        <f t="shared" si="0"/>
        <v>1</v>
      </c>
      <c r="G36" s="49"/>
      <c r="I36" s="85" t="b">
        <f>ISTEXT(VLOOKUP($D$15,Rodikliai!$A$2:$N$79,5,FALSE))</f>
        <v>0</v>
      </c>
    </row>
    <row r="37" spans="1:22" x14ac:dyDescent="0.25">
      <c r="A37" s="75"/>
      <c r="C37" s="344" t="s">
        <v>60</v>
      </c>
      <c r="D37" s="352">
        <v>100</v>
      </c>
      <c r="E37" s="132"/>
      <c r="F37" s="74" t="b">
        <f t="shared" si="0"/>
        <v>0</v>
      </c>
      <c r="G37" s="78">
        <f>'1_punktas'!D117-D37</f>
        <v>-100</v>
      </c>
      <c r="I37" s="86"/>
    </row>
    <row r="38" spans="1:22" x14ac:dyDescent="0.25">
      <c r="A38" s="75"/>
      <c r="C38" s="344" t="s">
        <v>61</v>
      </c>
      <c r="D38" s="352"/>
      <c r="E38" s="132"/>
      <c r="F38" s="74" t="b">
        <f t="shared" ref="F38:F52" si="11">ISBLANK(D38)</f>
        <v>1</v>
      </c>
      <c r="G38" s="49"/>
      <c r="I38" s="85" t="b">
        <f>ISTEXT(VLOOKUP($D$15,Rodikliai!$A$2:$N$79,5,FALSE))</f>
        <v>0</v>
      </c>
    </row>
    <row r="39" spans="1:22" ht="81" customHeight="1" x14ac:dyDescent="0.25">
      <c r="A39" s="75"/>
      <c r="C39" s="344" t="s">
        <v>62</v>
      </c>
      <c r="D39" s="352"/>
      <c r="E39" s="132"/>
      <c r="F39" s="74" t="b">
        <f t="shared" si="11"/>
        <v>1</v>
      </c>
      <c r="G39" s="49"/>
      <c r="I39" s="85" t="b">
        <f>ISTEXT(VLOOKUP($D$15,Rodikliai!$A$2:$N$79,5,FALSE))</f>
        <v>0</v>
      </c>
    </row>
    <row r="40" spans="1:22" x14ac:dyDescent="0.25">
      <c r="A40" s="75"/>
      <c r="C40" s="344" t="s">
        <v>63</v>
      </c>
      <c r="D40" s="352"/>
      <c r="E40" s="132"/>
      <c r="F40" s="74" t="b">
        <f t="shared" si="11"/>
        <v>1</v>
      </c>
      <c r="G40" s="78">
        <f>'1_punktas'!D120-D40</f>
        <v>0</v>
      </c>
      <c r="I40" s="86"/>
    </row>
    <row r="41" spans="1:22" x14ac:dyDescent="0.25">
      <c r="A41" s="75"/>
      <c r="C41" s="344" t="s">
        <v>64</v>
      </c>
      <c r="D41" s="352"/>
      <c r="E41" s="132"/>
      <c r="F41" s="74" t="b">
        <f t="shared" si="11"/>
        <v>1</v>
      </c>
      <c r="G41" s="49"/>
      <c r="I41" s="85" t="b">
        <f>ISTEXT(VLOOKUP($D$15,Rodikliai!$A$2:$N$79,5,FALSE))</f>
        <v>0</v>
      </c>
    </row>
    <row r="42" spans="1:22" ht="84.95" customHeight="1" x14ac:dyDescent="0.25">
      <c r="A42" s="75"/>
      <c r="C42" s="344" t="s">
        <v>65</v>
      </c>
      <c r="D42" s="352"/>
      <c r="E42" s="132"/>
      <c r="F42" s="74" t="b">
        <f t="shared" si="11"/>
        <v>1</v>
      </c>
      <c r="G42" s="49"/>
      <c r="I42" s="85" t="b">
        <f>ISTEXT(VLOOKUP($D$15,Rodikliai!$A$2:$N$79,5,FALSE))</f>
        <v>0</v>
      </c>
    </row>
    <row r="43" spans="1:22" x14ac:dyDescent="0.25">
      <c r="A43" s="75"/>
      <c r="C43" s="344" t="s">
        <v>66</v>
      </c>
      <c r="D43" s="352"/>
      <c r="E43" s="132"/>
      <c r="F43" s="74" t="b">
        <f t="shared" si="11"/>
        <v>1</v>
      </c>
      <c r="G43" s="78">
        <f>'1_punktas'!D123-D43</f>
        <v>0</v>
      </c>
      <c r="I43" s="86"/>
    </row>
    <row r="44" spans="1:22" x14ac:dyDescent="0.25">
      <c r="A44" s="75"/>
      <c r="C44" s="344" t="s">
        <v>67</v>
      </c>
      <c r="D44" s="352"/>
      <c r="E44" s="132"/>
      <c r="F44" s="74" t="b">
        <f t="shared" si="11"/>
        <v>1</v>
      </c>
      <c r="G44" s="49"/>
      <c r="I44" s="85" t="b">
        <f>ISTEXT(VLOOKUP($D$15,Rodikliai!$A$2:$N$79,5,FALSE))</f>
        <v>0</v>
      </c>
    </row>
    <row r="45" spans="1:22" ht="99.95" customHeight="1" x14ac:dyDescent="0.25">
      <c r="A45" s="75"/>
      <c r="C45" s="344" t="s">
        <v>68</v>
      </c>
      <c r="D45" s="352"/>
      <c r="E45" s="132"/>
      <c r="F45" s="74" t="b">
        <f t="shared" si="11"/>
        <v>1</v>
      </c>
      <c r="G45" s="49"/>
      <c r="I45" s="85" t="b">
        <f>ISTEXT(VLOOKUP($D$15,Rodikliai!$A$2:$N$79,5,FALSE))</f>
        <v>0</v>
      </c>
    </row>
    <row r="46" spans="1:22" x14ac:dyDescent="0.25">
      <c r="A46" s="75"/>
      <c r="C46" s="344" t="s">
        <v>69</v>
      </c>
      <c r="D46" s="352"/>
      <c r="E46" s="132"/>
      <c r="F46" s="74" t="b">
        <f t="shared" si="11"/>
        <v>1</v>
      </c>
      <c r="G46" s="78">
        <f>'1_punktas'!D126-D46</f>
        <v>0</v>
      </c>
      <c r="I46" s="86"/>
    </row>
    <row r="47" spans="1:22" x14ac:dyDescent="0.25">
      <c r="A47" s="75"/>
      <c r="C47" s="344" t="s">
        <v>70</v>
      </c>
      <c r="D47" s="352"/>
      <c r="E47" s="132"/>
      <c r="F47" s="74" t="b">
        <f t="shared" si="11"/>
        <v>1</v>
      </c>
      <c r="G47" s="49"/>
      <c r="I47" s="85" t="b">
        <f>ISTEXT(VLOOKUP($D$15,Rodikliai!$A$2:$N$79,5,FALSE))</f>
        <v>0</v>
      </c>
    </row>
    <row r="48" spans="1:22" ht="83.1" customHeight="1" x14ac:dyDescent="0.25">
      <c r="A48" s="75"/>
      <c r="C48" s="344" t="s">
        <v>71</v>
      </c>
      <c r="D48" s="352"/>
      <c r="E48" s="132"/>
      <c r="F48" s="74" t="b">
        <f t="shared" si="11"/>
        <v>1</v>
      </c>
      <c r="G48" s="49"/>
      <c r="I48" s="85" t="b">
        <f>ISTEXT(VLOOKUP($D$15,Rodikliai!$A$2:$N$79,5,FALSE))</f>
        <v>0</v>
      </c>
    </row>
    <row r="49" spans="1:12" x14ac:dyDescent="0.25">
      <c r="A49" s="75"/>
      <c r="C49" s="344" t="s">
        <v>72</v>
      </c>
      <c r="D49" s="352"/>
      <c r="E49" s="132"/>
      <c r="F49" s="74" t="b">
        <f t="shared" si="11"/>
        <v>1</v>
      </c>
      <c r="G49" s="78">
        <f>'1_punktas'!D129-D49</f>
        <v>0</v>
      </c>
      <c r="I49" s="85"/>
    </row>
    <row r="50" spans="1:12" x14ac:dyDescent="0.25">
      <c r="A50" s="75"/>
      <c r="C50" s="344" t="s">
        <v>73</v>
      </c>
      <c r="D50" s="352"/>
      <c r="E50" s="132"/>
      <c r="F50" s="74" t="b">
        <f t="shared" si="11"/>
        <v>1</v>
      </c>
      <c r="G50" s="49"/>
      <c r="I50" s="85" t="b">
        <f>ISTEXT(VLOOKUP($D$15,Rodikliai!$A$2:$N$79,5,FALSE))</f>
        <v>0</v>
      </c>
    </row>
    <row r="51" spans="1:12" ht="117" customHeight="1" x14ac:dyDescent="0.25">
      <c r="A51" s="75"/>
      <c r="C51" s="344" t="s">
        <v>74</v>
      </c>
      <c r="D51" s="352" t="s">
        <v>941</v>
      </c>
      <c r="E51" s="132"/>
      <c r="F51" s="74" t="b">
        <f t="shared" si="11"/>
        <v>0</v>
      </c>
      <c r="G51" s="49"/>
      <c r="I51" s="85" t="b">
        <f>ISTEXT(VLOOKUP($D$15,Rodikliai!$A$2:$N$79,5,FALSE))</f>
        <v>0</v>
      </c>
    </row>
    <row r="52" spans="1:12" x14ac:dyDescent="0.25">
      <c r="A52" s="75"/>
      <c r="C52" s="344" t="s">
        <v>75</v>
      </c>
      <c r="D52" s="352">
        <v>5000</v>
      </c>
      <c r="E52" s="132"/>
      <c r="F52" s="74" t="b">
        <f t="shared" si="11"/>
        <v>0</v>
      </c>
      <c r="G52" s="78">
        <f>'1_punktas'!D132-D52</f>
        <v>-5000</v>
      </c>
      <c r="I52" s="85"/>
    </row>
    <row r="53" spans="1:12" x14ac:dyDescent="0.25">
      <c r="C53" s="347"/>
      <c r="D53" s="353"/>
    </row>
    <row r="54" spans="1:12" x14ac:dyDescent="0.25">
      <c r="C54" s="348" t="s">
        <v>128</v>
      </c>
      <c r="D54" s="353"/>
    </row>
    <row r="55" spans="1:12" x14ac:dyDescent="0.25">
      <c r="C55" s="349"/>
      <c r="D55" s="353"/>
    </row>
    <row r="56" spans="1:12" x14ac:dyDescent="0.25">
      <c r="C56" s="349" t="s">
        <v>130</v>
      </c>
      <c r="D56" s="354"/>
      <c r="E56" s="291"/>
      <c r="F56" s="72" t="str">
        <f>MID(D7,1,6)</f>
        <v/>
      </c>
      <c r="G56" s="44" t="str">
        <f>LEFT(F56)</f>
        <v/>
      </c>
      <c r="H56" s="44" t="str">
        <f>MID(F56,2,1)</f>
        <v/>
      </c>
      <c r="I56" t="str">
        <f>MID(F56,3,2)</f>
        <v/>
      </c>
      <c r="J56" s="44" t="str">
        <f>IF(LEFT(I56,1)="0",SUBSTITUTE(I56,0,""),I56)</f>
        <v/>
      </c>
      <c r="K56" t="str">
        <f>RIGHT(F56,2)</f>
        <v/>
      </c>
      <c r="L56" s="44" t="str">
        <f>IF(LEFT(K56,1)="0",SUBSTITUTE(K56,0,""),K56)</f>
        <v/>
      </c>
    </row>
    <row r="57" spans="1:12" x14ac:dyDescent="0.25">
      <c r="C57" s="349" t="s">
        <v>131</v>
      </c>
      <c r="D57" s="354"/>
      <c r="E57" s="291"/>
    </row>
    <row r="58" spans="1:12" x14ac:dyDescent="0.25">
      <c r="C58" s="349" t="s">
        <v>132</v>
      </c>
      <c r="D58" s="354"/>
      <c r="E58" s="132"/>
      <c r="F58" s="72" t="str">
        <f>MID(D7,7,2)</f>
        <v/>
      </c>
      <c r="J58" s="87">
        <f>COUNTIF(D9:D52,"*"&amp;"!"&amp;"*")</f>
        <v>0</v>
      </c>
    </row>
    <row r="60" spans="1:12" x14ac:dyDescent="0.25">
      <c r="J60" s="88">
        <f>COUNTIF(F6:F52,FALSE)</f>
        <v>7</v>
      </c>
    </row>
    <row r="61" spans="1:12" x14ac:dyDescent="0.25">
      <c r="I61" t="s">
        <v>129</v>
      </c>
    </row>
  </sheetData>
  <mergeCells count="1">
    <mergeCell ref="A3:E3"/>
  </mergeCells>
  <conditionalFormatting sqref="C2">
    <cfRule type="containsText" dxfId="12" priority="1" operator="containsText" text="Nepildoma">
      <formula>NOT(ISERROR(SEARCH("Nepildoma",C2)))</formula>
    </cfRule>
  </conditionalFormatting>
  <conditionalFormatting sqref="G13:H15 G17:H17 G53:H54">
    <cfRule type="containsText" dxfId="11" priority="9" operator="containsText" text="Teisingai">
      <formula>NOT(ISERROR(SEARCH("Teisingai",G13)))</formula>
    </cfRule>
    <cfRule type="containsText" dxfId="10" priority="10" operator="containsText" text="Patikrinkite">
      <formula>NOT(ISERROR(SEARCH("Patikrinkite",G13)))</formula>
    </cfRule>
    <cfRule type="containsText" dxfId="9" priority="11" operator="containsText" text="Patikrinkite">
      <formula>NOT(ISERROR(SEARCH("Patikrinkite",G13)))</formula>
    </cfRule>
  </conditionalFormatting>
  <conditionalFormatting sqref="G16:H17">
    <cfRule type="containsText" dxfId="8" priority="6" operator="containsText" text="Teisingai">
      <formula>NOT(ISERROR(SEARCH("Teisingai",G16)))</formula>
    </cfRule>
    <cfRule type="containsText" dxfId="7" priority="7" operator="containsText" text="Patikrinkite">
      <formula>NOT(ISERROR(SEARCH("Patikrinkite",G16)))</formula>
    </cfRule>
    <cfRule type="containsText" dxfId="6" priority="8" operator="containsText" text="Patikrinkite">
      <formula>NOT(ISERROR(SEARCH("Patikrinkite",G16)))</formula>
    </cfRule>
  </conditionalFormatting>
  <conditionalFormatting sqref="G21:H28 G29:G33 G34:H49">
    <cfRule type="containsText" dxfId="5" priority="18" operator="containsText" text="Teisingai">
      <formula>NOT(ISERROR(SEARCH("Teisingai",G21)))</formula>
    </cfRule>
    <cfRule type="containsText" dxfId="4" priority="19" operator="containsText" text="Patikrinkite">
      <formula>NOT(ISERROR(SEARCH("Patikrinkite",G21)))</formula>
    </cfRule>
    <cfRule type="containsText" dxfId="3" priority="20" operator="containsText" text="Patikrinkite">
      <formula>NOT(ISERROR(SEARCH("Patikrinkite",G21)))</formula>
    </cfRule>
  </conditionalFormatting>
  <conditionalFormatting sqref="G50:H52">
    <cfRule type="containsText" dxfId="2" priority="15" operator="containsText" text="Teisingai">
      <formula>NOT(ISERROR(SEARCH("Teisingai",G50)))</formula>
    </cfRule>
    <cfRule type="containsText" dxfId="1" priority="16" operator="containsText" text="Patikrinkite">
      <formula>NOT(ISERROR(SEARCH("Patikrinkite",G50)))</formula>
    </cfRule>
    <cfRule type="containsText" dxfId="0" priority="17" operator="containsText" text="Patikrinkite">
      <formula>NOT(ISERROR(SEARCH("Patikrinkite",G50)))</formula>
    </cfRule>
  </conditionalFormatting>
  <dataValidations count="5">
    <dataValidation allowBlank="1" showInputMessage="1" showErrorMessage="1" sqref="D59:D65530 D4:D5"/>
    <dataValidation type="date" showInputMessage="1" showErrorMessage="1" sqref="E32">
      <formula1>41640</formula1>
      <formula2>45291</formula2>
    </dataValidation>
    <dataValidation type="date" showInputMessage="1" showErrorMessage="1" sqref="E29:E31">
      <formula1>41640</formula1>
      <formula2>44196</formula2>
    </dataValidation>
    <dataValidation showInputMessage="1" showErrorMessage="1" sqref="E33">
      <formula1>2014</formula1>
      <formula2>2023</formula2>
    </dataValidation>
    <dataValidation type="decimal" allowBlank="1" showInputMessage="1" showErrorMessage="1" sqref="I37 I40 I43 I46">
      <formula1>0</formula1>
      <formula2>1000000000</formula2>
    </dataValidation>
  </dataValidations>
  <pageMargins left="0.75" right="0.75" top="1" bottom="1" header="0.51" footer="0.51"/>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14"/>
  <sheetViews>
    <sheetView topLeftCell="A16" zoomScale="85" zoomScaleSheetLayoutView="100" workbookViewId="0">
      <selection activeCell="D24" sqref="D24:E24"/>
    </sheetView>
  </sheetViews>
  <sheetFormatPr defaultColWidth="9.140625" defaultRowHeight="15" x14ac:dyDescent="0.25"/>
  <cols>
    <col min="1" max="1" width="6.85546875" style="52" customWidth="1"/>
    <col min="2" max="2" width="4.85546875" style="294" customWidth="1"/>
    <col min="3" max="3" width="34" style="294" customWidth="1"/>
    <col min="4" max="4" width="29.42578125" style="294" customWidth="1"/>
    <col min="5" max="5" width="49.42578125" style="294" customWidth="1"/>
    <col min="6" max="6" width="22.85546875" style="294" customWidth="1"/>
    <col min="7" max="7" width="5.7109375" style="294" customWidth="1"/>
    <col min="8" max="9" width="18.85546875" style="51" customWidth="1"/>
    <col min="10" max="10" width="14.140625" style="49" customWidth="1"/>
    <col min="11" max="11" width="14.7109375" style="52" customWidth="1"/>
    <col min="12" max="12" width="12.42578125" style="52" customWidth="1"/>
    <col min="13" max="13" width="10.85546875" style="52" customWidth="1"/>
    <col min="14" max="15" width="11.28515625" style="52" customWidth="1"/>
    <col min="16" max="16" width="9.140625" style="52" bestFit="1" customWidth="1"/>
    <col min="17" max="17" width="9.140625" style="53" bestFit="1" customWidth="1"/>
    <col min="18" max="18" width="13.42578125" style="53" customWidth="1"/>
    <col min="19" max="19" width="12.5703125" style="53" customWidth="1"/>
    <col min="20" max="31" width="9.140625" style="53" bestFit="1" customWidth="1"/>
    <col min="32" max="32" width="9.140625" style="28" bestFit="1"/>
    <col min="33" max="16384" width="9.140625" style="28"/>
  </cols>
  <sheetData>
    <row r="1" spans="1:256" x14ac:dyDescent="0.25">
      <c r="A1" s="52" t="s">
        <v>133</v>
      </c>
      <c r="F1" s="295" t="s">
        <v>134</v>
      </c>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x14ac:dyDescent="0.25">
      <c r="A2" s="296">
        <v>2</v>
      </c>
      <c r="B2" s="608" t="str">
        <f>"PASIŪLYMO DĖL "&amp;UPPER('1_punktas'!D12)&amp;" REGIONO PLĖTROS PLANO KEITIMO ĮVERTINIMAS"</f>
        <v>PASIŪLYMO DĖL VILNIAUS REGIONO PLĖTROS PLANO KEITIMO ĮVERTINIMAS</v>
      </c>
      <c r="C2" s="608"/>
      <c r="D2" s="608"/>
      <c r="E2" s="608"/>
      <c r="F2" s="608"/>
    </row>
    <row r="3" spans="1:256" ht="15.75" thickBot="1" x14ac:dyDescent="0.3">
      <c r="A3" s="296"/>
      <c r="H3" s="54"/>
      <c r="I3" s="54"/>
    </row>
    <row r="4" spans="1:256" x14ac:dyDescent="0.25">
      <c r="A4" s="297">
        <v>3</v>
      </c>
      <c r="B4" s="335" t="s">
        <v>135</v>
      </c>
      <c r="C4" s="322"/>
      <c r="D4" s="322"/>
      <c r="E4" s="322"/>
      <c r="F4" s="322"/>
      <c r="G4" s="323"/>
      <c r="H4"/>
      <c r="I4"/>
    </row>
    <row r="5" spans="1:256" x14ac:dyDescent="0.25">
      <c r="A5" s="297"/>
      <c r="B5" s="336"/>
      <c r="C5" s="298" t="s">
        <v>136</v>
      </c>
      <c r="G5" s="325"/>
      <c r="H5"/>
      <c r="I5"/>
    </row>
    <row r="6" spans="1:256" ht="15" customHeight="1" x14ac:dyDescent="0.25">
      <c r="A6" s="296">
        <v>17</v>
      </c>
      <c r="B6" s="324"/>
      <c r="G6" s="325"/>
      <c r="H6" s="55"/>
      <c r="I6" s="55"/>
    </row>
    <row r="7" spans="1:256" x14ac:dyDescent="0.25">
      <c r="A7" s="296"/>
      <c r="B7" s="324"/>
      <c r="C7" s="299" t="s">
        <v>137</v>
      </c>
      <c r="D7" s="299">
        <f>'1_punktas'!D10</f>
        <v>0</v>
      </c>
      <c r="E7" s="299"/>
      <c r="F7" s="299"/>
      <c r="G7" s="325"/>
      <c r="H7" s="55"/>
      <c r="I7" s="55"/>
      <c r="K7" s="49"/>
      <c r="L7" s="49"/>
      <c r="M7" s="49"/>
    </row>
    <row r="8" spans="1:256" ht="38.1" customHeight="1" x14ac:dyDescent="0.25">
      <c r="A8" s="296"/>
      <c r="B8" s="324"/>
      <c r="C8" s="299" t="s">
        <v>138</v>
      </c>
      <c r="D8" s="609" t="str">
        <f>IF('1_punktas'!K30,"Įtraukti naują projektą "&amp;"„"&amp;'1_punktas'!D58&amp;"“",IF('1_punktas'!K32,"Pakeisti projektą "&amp;"Nr. "&amp;'1_punktas'!D32&amp;"„"&amp;'1_punktas'!E32&amp;"“"&amp;H11,IF('1_punktas'!K33,"Išbraukti projektą Nr. "&amp;'1_punktas'!D32&amp;"„"&amp;'1_punktas'!E32&amp;"“","")))</f>
        <v>Įtraukti naują projektą „Vilniaus lokomotyvų remonto depo gamybinės veiklos modernizavimas“</v>
      </c>
      <c r="E8" s="609"/>
      <c r="F8" s="609"/>
      <c r="G8" s="325"/>
      <c r="H8" s="55"/>
      <c r="I8" s="55"/>
    </row>
    <row r="9" spans="1:256" ht="132.94999999999999" customHeight="1" x14ac:dyDescent="0.25">
      <c r="A9" s="296"/>
      <c r="B9" s="324"/>
      <c r="C9" s="299" t="s">
        <v>139</v>
      </c>
      <c r="D9" s="610" t="str">
        <f>IF('1_punktas'!D34&gt;0, '1_punktas'!D34,"")</f>
        <v>Projekto tikslas – įtraukti UAB „Vilniaus lokomotyvų remonto depas“ planuojamą įgyvendinti projektą į regioninės svarbos projektų sąrašą ir įgyti teisę naudotis sklypu adresu Terminalo g. 8, Vilnius. Projekto metu numatoma modernios lokomotyvų remonto ir gamybos bazės statyba bei modernios įrangos būtinos technologinio proceso optimizavimui ir naujų paslaugų teikimui įsigijimas. Įgyvendinus projektą augs 400 specialistų kuriama pridėtinė vertė, t. y. modernios bazės dėka bus teikiamos vertingesnės paslaugos, augs specialistų kvalifikacija ir darbo užmokestis. Be to, bus sukurtos naujos kvalifikuotos, gerai apmokamos darbo vietos (ne mažiau 20).</v>
      </c>
      <c r="E9" s="610"/>
      <c r="F9" s="610"/>
      <c r="G9" s="325"/>
      <c r="H9" s="55"/>
      <c r="I9" s="55"/>
    </row>
    <row r="10" spans="1:256" ht="18" customHeight="1" x14ac:dyDescent="0.25">
      <c r="A10" s="296"/>
      <c r="B10" s="324"/>
      <c r="C10" s="299"/>
      <c r="D10" s="300"/>
      <c r="E10" s="300"/>
      <c r="F10" s="300"/>
      <c r="G10" s="325"/>
      <c r="H10" s="56"/>
      <c r="I10" s="56"/>
      <c r="J10" s="28"/>
      <c r="K10" s="53"/>
      <c r="L10" s="53"/>
    </row>
    <row r="11" spans="1:256" ht="18.95" customHeight="1" x14ac:dyDescent="0.25">
      <c r="A11" s="296"/>
      <c r="B11" s="337"/>
      <c r="C11" s="301" t="s">
        <v>140</v>
      </c>
      <c r="D11" s="52"/>
      <c r="E11" s="52"/>
      <c r="F11" s="52"/>
      <c r="G11" s="325"/>
      <c r="H11" s="595" t="str">
        <f>IF('1_punktas'!E32='1_punktas'!D58,""," (projekto pavadinimas keičiamas į "&amp;"„"&amp;'1_punktas'!D58&amp;"“)")</f>
        <v xml:space="preserve"> (projekto pavadinimas keičiamas į „Vilniaus lokomotyvų remonto depo gamybinės veiklos modernizavimas“)</v>
      </c>
      <c r="I11" s="595"/>
      <c r="J11" s="595"/>
      <c r="K11" s="595"/>
      <c r="L11" s="595"/>
    </row>
    <row r="12" spans="1:256" ht="14.1" customHeight="1" x14ac:dyDescent="0.25">
      <c r="A12" s="52" t="s">
        <v>116</v>
      </c>
      <c r="B12" s="324"/>
      <c r="C12" s="299" t="s">
        <v>141</v>
      </c>
      <c r="D12" s="299" t="str">
        <f>IF('1_punktas'!$K$30,"Nustatomas",IF('1_punktas'!$K$33,"Išbraukiamas",(IF(K12,"Nekeičiamas","Keičiamas"))))</f>
        <v>Nustatomas</v>
      </c>
      <c r="E12" s="52"/>
      <c r="F12" s="52"/>
      <c r="G12" s="325"/>
      <c r="H12"/>
      <c r="I12"/>
      <c r="J12" s="60" t="s">
        <v>141</v>
      </c>
      <c r="K12" s="52" t="b">
        <f>IF('1_punktas'!D58='RPD ivedimas'!D10,TRUE,FALSE)</f>
        <v>0</v>
      </c>
    </row>
    <row r="13" spans="1:256" ht="14.1" customHeight="1" x14ac:dyDescent="0.25">
      <c r="A13" s="52" t="s">
        <v>116</v>
      </c>
      <c r="B13" s="324"/>
      <c r="C13" s="299"/>
      <c r="D13" s="299"/>
      <c r="E13" s="52"/>
      <c r="F13" s="52"/>
      <c r="G13" s="325"/>
      <c r="H13"/>
      <c r="I13"/>
    </row>
    <row r="14" spans="1:256" ht="14.1" customHeight="1" x14ac:dyDescent="0.25">
      <c r="A14" s="52" t="s">
        <v>116</v>
      </c>
      <c r="B14" s="324"/>
      <c r="C14" s="301" t="s">
        <v>102</v>
      </c>
      <c r="D14" s="299"/>
      <c r="E14" s="52"/>
      <c r="F14" s="52"/>
      <c r="G14" s="325"/>
      <c r="H14"/>
      <c r="I14"/>
    </row>
    <row r="15" spans="1:256" ht="12.95" customHeight="1" x14ac:dyDescent="0.25">
      <c r="A15" s="52" t="s">
        <v>116</v>
      </c>
      <c r="B15" s="324"/>
      <c r="C15" s="299" t="s">
        <v>103</v>
      </c>
      <c r="D15" s="299" t="str">
        <f>IF('1_punktas'!$K$30,"Nustatomas",IF('1_punktas'!$K$33,"Išbraukiamas",(IF(K15,"Nekeičiamas","Keičiamas"))))</f>
        <v>Nustatomas</v>
      </c>
      <c r="E15" s="52"/>
      <c r="F15" s="52"/>
      <c r="G15" s="325"/>
      <c r="J15" s="49" t="s">
        <v>103</v>
      </c>
      <c r="K15" s="52" t="b">
        <f>'1_punktas'!D64='RPD ivedimas'!D12</f>
        <v>0</v>
      </c>
    </row>
    <row r="16" spans="1:256" x14ac:dyDescent="0.25">
      <c r="A16" s="52" t="s">
        <v>116</v>
      </c>
      <c r="B16" s="324"/>
      <c r="C16" s="301" t="s">
        <v>105</v>
      </c>
      <c r="D16" s="301" t="str">
        <f>IF('1_punktas'!$K$30,"Nustatomas",IF('1_punktas'!$K$33,"Išbraukiamas",(IF(K16,"Nekeičiamas","Keičiamas"))))</f>
        <v>Nustatomas</v>
      </c>
      <c r="E16" s="52"/>
      <c r="F16" s="52"/>
      <c r="G16" s="325"/>
      <c r="J16" s="49" t="s">
        <v>105</v>
      </c>
      <c r="K16" s="52" t="b">
        <f>'1_punktas'!D65='RPD ivedimas'!D13</f>
        <v>1</v>
      </c>
      <c r="L16" s="52" t="b">
        <f>NOT(K16)</f>
        <v>0</v>
      </c>
    </row>
    <row r="17" spans="1:12" x14ac:dyDescent="0.25">
      <c r="A17" s="52" t="s">
        <v>116</v>
      </c>
      <c r="B17" s="324"/>
      <c r="C17" s="299" t="s">
        <v>106</v>
      </c>
      <c r="D17" s="299" t="str">
        <f>IF('1_punktas'!$K$30,"Nustatomas",IF('1_punktas'!$K$33,"Išbraukiamas",(IF(K17,"Nekeičiamas","Keičiamas"))))</f>
        <v>Nustatomas</v>
      </c>
      <c r="E17" s="52"/>
      <c r="F17" s="52"/>
      <c r="G17" s="325"/>
      <c r="J17" s="49" t="s">
        <v>106</v>
      </c>
      <c r="K17" s="52" t="b">
        <f>'1_punktas'!D66='RPD ivedimas'!D14</f>
        <v>0</v>
      </c>
    </row>
    <row r="18" spans="1:12" x14ac:dyDescent="0.25">
      <c r="A18" s="52" t="s">
        <v>116</v>
      </c>
      <c r="B18" s="324"/>
      <c r="C18" s="301" t="s">
        <v>108</v>
      </c>
      <c r="D18" s="301" t="str">
        <f>IF('1_punktas'!$K$30,"Nustatomas",IF('1_punktas'!$K$33,"Išbraukiamas",(IF(K18,"Nekeičiamas","Keičiamas"))))</f>
        <v>Nustatomas</v>
      </c>
      <c r="E18" s="52"/>
      <c r="F18" s="52"/>
      <c r="G18" s="325"/>
      <c r="J18" s="49" t="s">
        <v>108</v>
      </c>
      <c r="K18" s="52" t="b">
        <f>'1_punktas'!D67='RPD ivedimas'!D15</f>
        <v>1</v>
      </c>
      <c r="L18" s="52" t="b">
        <f>NOT(K18)</f>
        <v>0</v>
      </c>
    </row>
    <row r="19" spans="1:12" x14ac:dyDescent="0.25">
      <c r="A19" s="52" t="s">
        <v>116</v>
      </c>
      <c r="B19" s="324"/>
      <c r="C19" s="299" t="s">
        <v>109</v>
      </c>
      <c r="D19" s="299" t="str">
        <f>IF('1_punktas'!$K$30,"Nustatomas",IF('1_punktas'!$K$33,"Išbraukiamas",(IF(K19,"Nekeičiamas","Keičiamas"))))</f>
        <v>Nustatomas</v>
      </c>
      <c r="E19" s="52"/>
      <c r="F19" s="52"/>
      <c r="G19" s="325"/>
      <c r="J19" s="49" t="s">
        <v>109</v>
      </c>
      <c r="K19" s="52" t="b">
        <f>'1_punktas'!D68='RPD ivedimas'!D16</f>
        <v>0</v>
      </c>
    </row>
    <row r="20" spans="1:12" x14ac:dyDescent="0.25">
      <c r="A20" s="52" t="s">
        <v>116</v>
      </c>
      <c r="B20" s="324"/>
      <c r="C20" s="299" t="s">
        <v>110</v>
      </c>
      <c r="D20" s="299" t="str">
        <f>IF('1_punktas'!$K$30,"Nustatomas",IF('1_punktas'!$K$33,"Išbraukiamas",(IF(K20,"Nekeičiamas","Keičiamas"))))</f>
        <v>Nustatomas</v>
      </c>
      <c r="E20" s="52"/>
      <c r="F20" s="52"/>
      <c r="G20" s="325"/>
      <c r="J20" s="49" t="s">
        <v>110</v>
      </c>
      <c r="K20" s="52" t="b">
        <f>'1_punktas'!D69='RPD ivedimas'!D17</f>
        <v>0</v>
      </c>
    </row>
    <row r="21" spans="1:12" x14ac:dyDescent="0.25">
      <c r="A21" s="52" t="s">
        <v>116</v>
      </c>
      <c r="B21" s="324"/>
      <c r="C21" s="299" t="s">
        <v>112</v>
      </c>
      <c r="D21" s="299" t="str">
        <f>IF('1_punktas'!$K$30,"Nustatomas",IF('1_punktas'!$K$33,"Išbraukiamas",(IF(K21,"Nekeičiamas","Keičiamas"))))</f>
        <v>Nustatomas</v>
      </c>
      <c r="E21" s="52"/>
      <c r="F21" s="52"/>
      <c r="G21" s="325"/>
      <c r="J21" s="49" t="s">
        <v>112</v>
      </c>
      <c r="K21" s="52" t="b">
        <f>'1_punktas'!D70='RPD ivedimas'!D18</f>
        <v>1</v>
      </c>
    </row>
    <row r="22" spans="1:12" x14ac:dyDescent="0.25">
      <c r="A22" s="52" t="s">
        <v>116</v>
      </c>
      <c r="B22" s="324"/>
      <c r="E22" s="52"/>
      <c r="F22" s="298" t="s">
        <v>142</v>
      </c>
      <c r="G22" s="325"/>
      <c r="K22" s="52">
        <f>COUNTIF(K15:K21,FALSE)</f>
        <v>4</v>
      </c>
      <c r="L22" s="52">
        <f>COUNTIF(L15:L21,TRUE)</f>
        <v>0</v>
      </c>
    </row>
    <row r="23" spans="1:12" ht="27" customHeight="1" x14ac:dyDescent="0.25">
      <c r="B23" s="324"/>
      <c r="C23" s="302" t="s">
        <v>143</v>
      </c>
      <c r="D23" s="596" t="str">
        <f>IF(F23=0,"Teisingai",INDEX(klaidos!B3:B59,SMALL(klaidos!K3:K59,1),1))</f>
        <v>32 eilutė nepildoma (pašalinkite perteklinę informaciją)</v>
      </c>
      <c r="E23" s="596"/>
      <c r="F23" s="245">
        <f>klaidos!K60</f>
        <v>4</v>
      </c>
      <c r="G23" s="325"/>
    </row>
    <row r="24" spans="1:12" ht="27" customHeight="1" x14ac:dyDescent="0.25">
      <c r="B24" s="324"/>
      <c r="C24" s="302" t="s">
        <v>144</v>
      </c>
      <c r="D24" s="607" t="str">
        <f>INDEX(klaidos!B65:B69,SMALL(klaidos!D65:D69,1),1)</f>
        <v>3 lentelė nepildoma, pašalinkite perteklinę informaciją</v>
      </c>
      <c r="E24" s="607"/>
      <c r="F24" s="298">
        <f>klaidos!C70</f>
        <v>1</v>
      </c>
      <c r="G24" s="325"/>
    </row>
    <row r="25" spans="1:12" ht="27" customHeight="1" x14ac:dyDescent="0.25">
      <c r="B25" s="324"/>
      <c r="C25" s="302"/>
      <c r="D25" s="303"/>
      <c r="E25" s="303"/>
      <c r="F25" s="298"/>
      <c r="G25" s="325"/>
      <c r="J25" s="62"/>
    </row>
    <row r="26" spans="1:12" ht="27" customHeight="1" x14ac:dyDescent="0.25">
      <c r="B26" s="324"/>
      <c r="C26" s="299" t="str">
        <f>IF(K92,"Ar išbrauktas projektas bus keičiamas  lygiaverčiu rezerviniu projektu?→","")</f>
        <v/>
      </c>
      <c r="D26" s="304"/>
      <c r="E26" s="604" t="str">
        <f>IF(D26="Taip","Nurodykite keičiamo rezervinio projekto numerį ir pavadinimą↓; Pridėkite užpildytą pasiūlymo formą.","")</f>
        <v/>
      </c>
      <c r="F26" s="604"/>
      <c r="G26" s="325"/>
      <c r="J26" s="62"/>
    </row>
    <row r="27" spans="1:12" ht="27" customHeight="1" x14ac:dyDescent="0.25">
      <c r="B27" s="324"/>
      <c r="C27" s="299"/>
      <c r="D27" s="299"/>
      <c r="E27" s="605"/>
      <c r="F27" s="605"/>
      <c r="G27" s="325"/>
      <c r="J27" s="62"/>
    </row>
    <row r="28" spans="1:12" ht="17.100000000000001" customHeight="1" x14ac:dyDescent="0.25">
      <c r="B28" s="337"/>
      <c r="C28" s="52"/>
      <c r="D28" s="52"/>
      <c r="E28" s="52"/>
      <c r="F28" s="52"/>
      <c r="G28" s="338"/>
    </row>
    <row r="29" spans="1:12" ht="48.95" customHeight="1" x14ac:dyDescent="0.25">
      <c r="B29" s="324"/>
      <c r="C29" s="302" t="s">
        <v>145</v>
      </c>
      <c r="D29" s="598"/>
      <c r="E29" s="598"/>
      <c r="F29" s="598"/>
      <c r="G29" s="325"/>
    </row>
    <row r="30" spans="1:12" ht="18.95" customHeight="1" x14ac:dyDescent="0.25">
      <c r="B30" s="324"/>
      <c r="C30" s="302"/>
      <c r="D30" s="305"/>
      <c r="E30" s="305"/>
      <c r="F30" s="305"/>
      <c r="G30" s="325"/>
    </row>
    <row r="31" spans="1:12" x14ac:dyDescent="0.25">
      <c r="B31" s="324"/>
      <c r="C31" s="306" t="s">
        <v>146</v>
      </c>
      <c r="D31" s="599" t="s">
        <v>482</v>
      </c>
      <c r="E31" s="599"/>
      <c r="F31" s="52"/>
      <c r="G31" s="325"/>
    </row>
    <row r="32" spans="1:12" ht="15.75" thickBot="1" x14ac:dyDescent="0.3">
      <c r="B32" s="326"/>
      <c r="C32" s="328"/>
      <c r="D32" s="328"/>
      <c r="E32" s="339"/>
      <c r="F32" s="339"/>
      <c r="G32" s="329"/>
    </row>
    <row r="33" spans="1:15" ht="15.75" thickBot="1" x14ac:dyDescent="0.3">
      <c r="E33" s="52"/>
      <c r="F33" s="52"/>
      <c r="K33" s="61"/>
      <c r="L33" s="61"/>
    </row>
    <row r="34" spans="1:15" ht="15.75" x14ac:dyDescent="0.25">
      <c r="A34" s="52" t="s">
        <v>116</v>
      </c>
      <c r="B34" s="330" t="s">
        <v>148</v>
      </c>
      <c r="C34" s="331" t="s">
        <v>149</v>
      </c>
      <c r="D34" s="322"/>
      <c r="E34" s="322"/>
      <c r="F34" s="322"/>
      <c r="G34" s="323"/>
    </row>
    <row r="35" spans="1:15" x14ac:dyDescent="0.25">
      <c r="B35" s="324"/>
      <c r="G35" s="325"/>
    </row>
    <row r="36" spans="1:15" x14ac:dyDescent="0.25">
      <c r="B36" s="324"/>
      <c r="C36" s="600" t="str">
        <f>INDEX(klaidos!B72:B73,SMALL(klaidos!D72:D73,1))</f>
        <v>Siūlomų pakeitimų įvertinimas atliekamas tik esant tinkamai užpildytai pasiūlymo formai; ištaisykite klaidas 1 ar 3 lentelėse</v>
      </c>
      <c r="D36" s="600"/>
      <c r="E36" s="600"/>
      <c r="F36" s="600"/>
      <c r="G36" s="325"/>
    </row>
    <row r="37" spans="1:15" x14ac:dyDescent="0.25">
      <c r="B37" s="324"/>
      <c r="C37" s="295"/>
      <c r="D37" s="307"/>
      <c r="E37" s="307"/>
      <c r="G37" s="325"/>
    </row>
    <row r="38" spans="1:15" x14ac:dyDescent="0.25">
      <c r="B38" s="324"/>
      <c r="C38" s="298" t="str">
        <f>"Planuojamų asignavimų pokytis"&amp;IF(N54&gt;0," (Eur)"," – nenumatomas")</f>
        <v>Planuojamų asignavimų pokytis (Eur)</v>
      </c>
      <c r="G38" s="325"/>
    </row>
    <row r="39" spans="1:15" x14ac:dyDescent="0.25">
      <c r="B39" s="324"/>
      <c r="C39" s="298"/>
      <c r="G39" s="325"/>
    </row>
    <row r="40" spans="1:15" x14ac:dyDescent="0.25">
      <c r="A40" s="52" t="str">
        <f t="shared" ref="A40:A49" si="0">IF(LEN(C40)&gt;0,"Rodyti","")</f>
        <v>Rodyti</v>
      </c>
      <c r="B40" s="324"/>
      <c r="C40" s="294" t="str">
        <f>IFERROR(INDEX('RPD ivedimas'!$C$22:$C$27,SMALL('RPD ivedimas'!$P$22:$P$27,1),1),"")</f>
        <v>Iš viso:</v>
      </c>
      <c r="D40" s="308">
        <f>IFERROR(INDEX($K$44:$K$50,SMALL('RPD ivedimas'!$P$22:$P$27,1),1),"")</f>
        <v>71163500</v>
      </c>
      <c r="E40" s="294" t="str">
        <f>IFERROR(INDEX($M$44:$M$50,SMALL('RPD ivedimas'!$P$22:$P$27,1),1),"")</f>
        <v>Nustatomas</v>
      </c>
      <c r="G40" s="325"/>
    </row>
    <row r="41" spans="1:15" x14ac:dyDescent="0.25">
      <c r="A41" s="52" t="str">
        <f t="shared" si="0"/>
        <v>Rodyti</v>
      </c>
      <c r="B41" s="324"/>
      <c r="C41" s="294" t="str">
        <f>IFERROR(INDEX('RPD ivedimas'!$C$22:$C$27,SMALL('RPD ivedimas'!$P$22:$P$27,2),1),"")</f>
        <v>Privačios lėšos</v>
      </c>
      <c r="D41" s="308">
        <f>IFERROR(INDEX($K$44:$K$50,SMALL('RPD ivedimas'!$P$22:$P$27,2),1),"")</f>
        <v>71163500</v>
      </c>
      <c r="E41" s="294" t="str">
        <f>IFERROR(INDEX($M$44:$M$50,SMALL('RPD ivedimas'!$P$22:$P$27,2),1),"")</f>
        <v>Nustatomas</v>
      </c>
      <c r="G41" s="325"/>
    </row>
    <row r="42" spans="1:15" x14ac:dyDescent="0.25">
      <c r="A42" s="52" t="str">
        <f t="shared" si="0"/>
        <v/>
      </c>
      <c r="B42" s="324"/>
      <c r="C42" s="294" t="str">
        <f>IFERROR(INDEX('RPD ivedimas'!$C$22:$C$27,SMALL('RPD ivedimas'!$P$22:$P$27,3),1),"")</f>
        <v/>
      </c>
      <c r="D42" s="308" t="str">
        <f>IFERROR(INDEX($K$44:$K$50,SMALL('RPD ivedimas'!$P$22:$P$27,3),1),"")</f>
        <v/>
      </c>
      <c r="E42" s="294" t="str">
        <f>IFERROR(INDEX($M$44:$M$50,SMALL('RPD ivedimas'!$P$22:$P$27,3),1),"")</f>
        <v/>
      </c>
      <c r="G42" s="325"/>
      <c r="K42" s="61"/>
      <c r="L42" s="61"/>
    </row>
    <row r="43" spans="1:15" x14ac:dyDescent="0.25">
      <c r="A43" s="52" t="str">
        <f t="shared" si="0"/>
        <v/>
      </c>
      <c r="B43" s="324"/>
      <c r="C43" s="294" t="str">
        <f>IFERROR(INDEX('RPD ivedimas'!$C$22:$C$27,SMALL('RPD ivedimas'!$P$22:$P$27,4),1),"")</f>
        <v/>
      </c>
      <c r="D43" s="308" t="str">
        <f>IFERROR(INDEX($K$44:$K$50,SMALL('RPD ivedimas'!$P$22:$P$27,4),1),"")</f>
        <v/>
      </c>
      <c r="E43" s="294" t="str">
        <f>IFERROR(INDEX($M$44:$M$50,SMALL('RPD ivedimas'!$P$22:$P$27,4),1),"")</f>
        <v/>
      </c>
      <c r="G43" s="325"/>
      <c r="H43" s="51" t="s">
        <v>121</v>
      </c>
      <c r="J43" s="49" t="s">
        <v>120</v>
      </c>
      <c r="K43" s="61"/>
    </row>
    <row r="44" spans="1:15" x14ac:dyDescent="0.25">
      <c r="A44" s="52" t="str">
        <f t="shared" si="0"/>
        <v/>
      </c>
      <c r="B44" s="324"/>
      <c r="C44" s="294" t="str">
        <f>IFERROR(INDEX('RPD ivedimas'!$C$22:$C$27,SMALL('RPD ivedimas'!$P$22:$P$27,5),1),"")</f>
        <v/>
      </c>
      <c r="D44" s="308" t="str">
        <f>IFERROR(INDEX($K$44:$K$50,SMALL('RPD ivedimas'!$P$22:$P$27,5),1),"")</f>
        <v/>
      </c>
      <c r="E44" s="294" t="str">
        <f>IFERROR(INDEX($M$44:$M$50,SMALL('RPD ivedimas'!$P$22:$P$27,5),1),"")</f>
        <v/>
      </c>
      <c r="G44" s="325"/>
      <c r="H44" s="51">
        <f>'1_punktas'!D80</f>
        <v>71163500</v>
      </c>
      <c r="J44" s="49">
        <f>'RPD ivedimas'!D22</f>
        <v>0</v>
      </c>
      <c r="K44" s="61">
        <f t="shared" ref="K44:K49" si="1">H44-J44</f>
        <v>71163500</v>
      </c>
      <c r="L44" s="52" t="b">
        <f t="shared" ref="L44:L49" si="2">IF(K44&lt;&gt;0,TRUE,FALSE)</f>
        <v>1</v>
      </c>
      <c r="M44" s="52" t="str">
        <f t="shared" ref="M44:M49" si="3">IF(AND(L44,J44=0),"Nustatomas",IF(AND(L44,H44=0),"Išbraukiamas","Keičiamas"))</f>
        <v>Nustatomas</v>
      </c>
      <c r="N44" s="52">
        <f>ABS(K44:K50)</f>
        <v>71163500</v>
      </c>
      <c r="O44" s="52" t="s">
        <v>114</v>
      </c>
    </row>
    <row r="45" spans="1:15" x14ac:dyDescent="0.25">
      <c r="A45" s="52" t="str">
        <f t="shared" si="0"/>
        <v/>
      </c>
      <c r="B45" s="324"/>
      <c r="C45" s="309" t="str">
        <f>IFERROR(INDEX('RPD ivedimas'!$C$22:$C$27,SMALL('RPD ivedimas'!$P$22:$P$27,6),1),"")</f>
        <v/>
      </c>
      <c r="D45" s="308" t="str">
        <f>IFERROR(INDEX($K$44:$K$50,SMALL('RPD ivedimas'!$P$22:$P$27,6),1),"")</f>
        <v/>
      </c>
      <c r="E45" s="294" t="str">
        <f>IFERROR(INDEX($M$44:$M$50,SMALL('RPD ivedimas'!$P$22:$P$27,6),1),"")</f>
        <v/>
      </c>
      <c r="G45" s="325"/>
      <c r="H45" s="51">
        <f>'1_punktas'!D81</f>
        <v>0</v>
      </c>
      <c r="J45" s="49">
        <f>'RPD ivedimas'!D23</f>
        <v>0</v>
      </c>
      <c r="K45" s="61">
        <f t="shared" si="1"/>
        <v>0</v>
      </c>
      <c r="L45" s="52" t="b">
        <f t="shared" si="2"/>
        <v>0</v>
      </c>
      <c r="M45" s="52" t="str">
        <f t="shared" si="3"/>
        <v>Keičiamas</v>
      </c>
      <c r="N45" s="52">
        <f>ABS(K45:K54)</f>
        <v>0</v>
      </c>
      <c r="O45" s="52" t="s">
        <v>115</v>
      </c>
    </row>
    <row r="46" spans="1:15" x14ac:dyDescent="0.25">
      <c r="A46" s="52" t="str">
        <f t="shared" si="0"/>
        <v/>
      </c>
      <c r="B46" s="324"/>
      <c r="G46" s="325"/>
      <c r="H46" s="51">
        <f>'1_punktas'!D82</f>
        <v>0</v>
      </c>
      <c r="J46" s="49">
        <f>'RPD ivedimas'!D24</f>
        <v>0</v>
      </c>
      <c r="K46" s="61">
        <f t="shared" si="1"/>
        <v>0</v>
      </c>
      <c r="L46" s="52" t="b">
        <f t="shared" si="2"/>
        <v>0</v>
      </c>
      <c r="M46" s="52" t="str">
        <f t="shared" si="3"/>
        <v>Keičiamas</v>
      </c>
      <c r="N46" s="52">
        <f>ABS(K46:K55)</f>
        <v>0</v>
      </c>
      <c r="O46" s="52" t="s">
        <v>117</v>
      </c>
    </row>
    <row r="47" spans="1:15" x14ac:dyDescent="0.25">
      <c r="A47" s="52" t="str">
        <f t="shared" si="0"/>
        <v/>
      </c>
      <c r="B47" s="324"/>
      <c r="G47" s="325"/>
      <c r="H47" s="51">
        <f>'1_punktas'!D83</f>
        <v>71163500</v>
      </c>
      <c r="J47" s="49">
        <f>'RPD ivedimas'!D25</f>
        <v>0</v>
      </c>
      <c r="K47" s="61">
        <f t="shared" si="1"/>
        <v>71163500</v>
      </c>
      <c r="L47" s="52" t="b">
        <f t="shared" si="2"/>
        <v>1</v>
      </c>
      <c r="M47" s="52" t="str">
        <f t="shared" si="3"/>
        <v>Nustatomas</v>
      </c>
      <c r="N47" s="52">
        <f>ABS(K47:K59)</f>
        <v>71163500</v>
      </c>
      <c r="O47" s="52" t="s">
        <v>118</v>
      </c>
    </row>
    <row r="48" spans="1:15" ht="15.95" customHeight="1" x14ac:dyDescent="0.25">
      <c r="A48" s="52" t="str">
        <f t="shared" si="0"/>
        <v/>
      </c>
      <c r="B48" s="324"/>
      <c r="C48" s="601" t="str">
        <f>IF(Q50&gt;0,"Numatytas papildomas valstybės biudžeto, ES lėšų ar kitų viešųjų lėšų poreikis – įvertinkite ar pakanka turimų arba planuojamų finansinių išteklių","")</f>
        <v/>
      </c>
      <c r="D48" s="601"/>
      <c r="E48" s="601"/>
      <c r="F48" s="601"/>
      <c r="G48" s="325"/>
      <c r="H48" s="51">
        <f>'1_punktas'!D84</f>
        <v>0</v>
      </c>
      <c r="J48" s="49">
        <f>'RPD ivedimas'!D26</f>
        <v>0</v>
      </c>
      <c r="K48" s="61">
        <f t="shared" si="1"/>
        <v>0</v>
      </c>
      <c r="L48" s="52" t="b">
        <f t="shared" si="2"/>
        <v>0</v>
      </c>
      <c r="M48" s="52" t="str">
        <f t="shared" si="3"/>
        <v>Keičiamas</v>
      </c>
      <c r="N48" s="52">
        <f>ABS(K48:K65)</f>
        <v>0</v>
      </c>
      <c r="O48" s="52" t="s">
        <v>150</v>
      </c>
    </row>
    <row r="49" spans="1:17" ht="66.95" customHeight="1" x14ac:dyDescent="0.25">
      <c r="A49" s="52" t="str">
        <f t="shared" si="0"/>
        <v/>
      </c>
      <c r="B49" s="324"/>
      <c r="C49" s="310" t="str">
        <f>IF(LEN(C48)&gt;0,"Įvertinkite papildomų lėšų skyrimo galimybes (pasirinkite paaiškinimą iš sąrašo D stulpelyje → arba pakomentuokite↓)","")</f>
        <v/>
      </c>
      <c r="D49" s="602" t="s">
        <v>945</v>
      </c>
      <c r="E49" s="602"/>
      <c r="F49" s="602"/>
      <c r="G49" s="325"/>
      <c r="H49" s="51">
        <f>'1_punktas'!D85</f>
        <v>0</v>
      </c>
      <c r="J49" s="49">
        <f>'RPD ivedimas'!D27</f>
        <v>0</v>
      </c>
      <c r="K49" s="61">
        <f t="shared" si="1"/>
        <v>0</v>
      </c>
      <c r="L49" s="52" t="b">
        <f t="shared" si="2"/>
        <v>0</v>
      </c>
      <c r="M49" s="52" t="str">
        <f t="shared" si="3"/>
        <v>Keičiamas</v>
      </c>
      <c r="N49" s="52">
        <f>ABS(K49:K67)</f>
        <v>0</v>
      </c>
      <c r="O49" s="52" t="s">
        <v>119</v>
      </c>
    </row>
    <row r="50" spans="1:17" ht="44.1" customHeight="1" x14ac:dyDescent="0.25">
      <c r="A50" s="52" t="s">
        <v>116</v>
      </c>
      <c r="B50" s="324"/>
      <c r="C50" s="311" t="s">
        <v>145</v>
      </c>
      <c r="D50" s="597"/>
      <c r="E50" s="597"/>
      <c r="F50" s="597"/>
      <c r="G50" s="325"/>
      <c r="K50" s="61"/>
      <c r="P50" s="52" t="s">
        <v>151</v>
      </c>
      <c r="Q50" s="53">
        <f>N49+N48+N46</f>
        <v>0</v>
      </c>
    </row>
    <row r="51" spans="1:17" ht="17.100000000000001" customHeight="1" x14ac:dyDescent="0.25">
      <c r="B51" s="324"/>
      <c r="C51" s="311"/>
      <c r="D51" s="312"/>
      <c r="E51" s="312"/>
      <c r="F51" s="312"/>
      <c r="G51" s="325"/>
      <c r="K51" s="61"/>
    </row>
    <row r="52" spans="1:17" x14ac:dyDescent="0.25">
      <c r="B52" s="324"/>
      <c r="G52" s="325"/>
      <c r="K52" s="61"/>
      <c r="P52" s="52" t="s">
        <v>152</v>
      </c>
    </row>
    <row r="53" spans="1:17" x14ac:dyDescent="0.25">
      <c r="B53" s="324"/>
      <c r="G53" s="325"/>
      <c r="K53" s="61"/>
    </row>
    <row r="54" spans="1:17" x14ac:dyDescent="0.25">
      <c r="A54" s="52" t="s">
        <v>153</v>
      </c>
      <c r="B54" s="324"/>
      <c r="C54" s="298" t="str">
        <f>"Planuojamų terminų pokytis"&amp;IF(H55=0," – nenumatomas (netaikoma)","")</f>
        <v>Planuojamų terminų pokytis – nenumatomas (netaikoma)</v>
      </c>
      <c r="G54" s="325"/>
      <c r="J54" t="s">
        <v>154</v>
      </c>
      <c r="K54" s="61"/>
      <c r="N54" s="52">
        <f>SUM(N44:N50)</f>
        <v>142327000</v>
      </c>
    </row>
    <row r="55" spans="1:17" ht="30.95" customHeight="1" x14ac:dyDescent="0.25">
      <c r="A55" s="52" t="str">
        <f t="shared" ref="A55:A58" si="4">IF(LEN(C55)&gt;0,"Rodyti","")</f>
        <v/>
      </c>
      <c r="B55" s="324"/>
      <c r="C55" s="294" t="str">
        <f>IFERROR(INDEX('RPD ivedimas'!$C$29:$C$32,SMALL('RPD ivedimas'!$Q$29:$Q$32,1),1),"")</f>
        <v/>
      </c>
      <c r="D55" s="294" t="str">
        <f>IFERROR(INDEX('RPD ivedimas'!$R$29:$R$32,SMALL('RPD ivedimas'!$Q$29:$Q$32,1),1),"")</f>
        <v/>
      </c>
      <c r="E55" s="294" t="str">
        <f>IFERROR(INDEX('RPD ivedimas'!$T$29:$T$32,SMALL('RPD ivedimas'!$Q$29:$Q$32,1),1)&amp;" m. "&amp;IF(INDEX('RPD ivedimas'!$U$29:$U$32,SMALL('RPD ivedimas'!$Q$29:$Q$32,1),1)&gt;0,INDEX('RPD ivedimas'!$U$29:$U$32,SMALL('RPD ivedimas'!$Q$29:$Q$32,1),1)&amp;" ketv.",""),"")</f>
        <v/>
      </c>
      <c r="G55" s="325"/>
      <c r="H55" s="51">
        <f>LEN(D55)+LEN(D56)+LEN(D57)+LEN(D58)</f>
        <v>0</v>
      </c>
      <c r="K55" s="61"/>
    </row>
    <row r="56" spans="1:17" x14ac:dyDescent="0.25">
      <c r="A56" s="52" t="str">
        <f t="shared" si="4"/>
        <v/>
      </c>
      <c r="B56" s="324"/>
      <c r="C56" s="294" t="str">
        <f>IFERROR(INDEX('RPD ivedimas'!$C$29:$C$32,SMALL('RPD ivedimas'!$Q$29:$Q$32,2),1),"")</f>
        <v/>
      </c>
      <c r="D56" s="294" t="str">
        <f>IFERROR(INDEX('RPD ivedimas'!$R$29:$R$32,SMALL('RPD ivedimas'!$Q$29:$Q$32,2),1),"")</f>
        <v/>
      </c>
      <c r="E56" s="294" t="str">
        <f>IFERROR(INDEX('RPD ivedimas'!$T$29:$T$32,SMALL('RPD ivedimas'!$Q$29:$Q$32,2),1)&amp;" m. "&amp;IF(INDEX('RPD ivedimas'!$U$29:$U$32,SMALL('RPD ivedimas'!$Q$29:$Q$32,2),1)&gt;0,INDEX('RPD ivedimas'!$U$29:$U$32,SMALL('RPD ivedimas'!$Q$29:$Q$32,2),1)&amp;" ketv.",""),"")</f>
        <v/>
      </c>
      <c r="G56" s="325"/>
    </row>
    <row r="57" spans="1:17" x14ac:dyDescent="0.25">
      <c r="A57" s="52" t="str">
        <f t="shared" si="4"/>
        <v/>
      </c>
      <c r="B57" s="324"/>
      <c r="C57" s="294" t="str">
        <f>IFERROR(INDEX('RPD ivedimas'!$C$29:$C$32,SMALL('RPD ivedimas'!$Q$29:$Q$32,3),1),"")</f>
        <v/>
      </c>
      <c r="D57" s="294" t="str">
        <f>IFERROR(INDEX('RPD ivedimas'!$R$29:$R$32,SMALL('RPD ivedimas'!$Q$29:$Q$32,3),1),"")</f>
        <v/>
      </c>
      <c r="E57" s="294" t="str">
        <f>IFERROR(INDEX('RPD ivedimas'!$T$29:$T$32,SMALL('RPD ivedimas'!$Q$29:$Q$32,3),1)&amp;" m. "&amp;IF(INDEX('RPD ivedimas'!$U$29:$U$32,SMALL('RPD ivedimas'!$Q$29:$Q$32,3),1)&gt;0,INDEX('RPD ivedimas'!$U$29:$U$32,SMALL('RPD ivedimas'!$Q$29:$Q$32,3),1)&amp;" ketv.",""),"")</f>
        <v/>
      </c>
      <c r="G57" s="325"/>
    </row>
    <row r="58" spans="1:17" x14ac:dyDescent="0.25">
      <c r="A58" s="52" t="str">
        <f t="shared" si="4"/>
        <v/>
      </c>
      <c r="B58" s="324"/>
      <c r="C58" s="294" t="str">
        <f>IFERROR(INDEX('RPD ivedimas'!$C$29:$C$32,SMALL('RPD ivedimas'!$Q$29:$Q$32,4),1),"")</f>
        <v/>
      </c>
      <c r="D58" s="294" t="str">
        <f>IFERROR(INDEX('RPD ivedimas'!$R$29:$R$32,SMALL('RPD ivedimas'!$Q$29:$Q$32,4),1),"")</f>
        <v/>
      </c>
      <c r="E58" s="294" t="str">
        <f>IFERROR(INDEX('RPD ivedimas'!$T$29:$T$32,SMALL('RPD ivedimas'!$Q$29:$Q$32,4),1)&amp;" m. "&amp;IF(INDEX('RPD ivedimas'!$U$29:$U$32,SMALL('RPD ivedimas'!$Q$29:$Q$32,4),1)&gt;0,INDEX('RPD ivedimas'!$U$29:$U$32,SMALL('RPD ivedimas'!$Q$29:$Q$32,4),1)&amp;" ketv.",""),"")</f>
        <v/>
      </c>
      <c r="G58" s="325"/>
    </row>
    <row r="59" spans="1:17" x14ac:dyDescent="0.25">
      <c r="A59" s="52" t="s">
        <v>116</v>
      </c>
      <c r="B59" s="324"/>
      <c r="G59" s="325"/>
      <c r="K59" s="61"/>
    </row>
    <row r="60" spans="1:17" x14ac:dyDescent="0.25">
      <c r="B60" s="324"/>
      <c r="G60" s="325"/>
      <c r="K60" s="61"/>
    </row>
    <row r="61" spans="1:17" ht="33" customHeight="1" x14ac:dyDescent="0.25">
      <c r="B61" s="324"/>
      <c r="C61" s="603" t="str">
        <f>IF(AND(COUNTIF(D55:D58,"=Nukeliama"),'1_punktas'!D68="R"),"Numatytas regionininio planavimo būdu atrenkamo projekto terminų nukėlimas – įvertinkite galimą poveikį PFSA regionui nustatyto sutarčių sudarymo ir lėšų išmokejimo plano įvykdymui","")</f>
        <v/>
      </c>
      <c r="D61" s="603"/>
      <c r="E61" s="603"/>
      <c r="F61" s="603"/>
      <c r="G61" s="325"/>
      <c r="K61" s="61"/>
    </row>
    <row r="62" spans="1:17" ht="57" customHeight="1" x14ac:dyDescent="0.25">
      <c r="B62" s="324"/>
      <c r="C62" s="310" t="str">
        <f>IF(LEFT(C61,2)="Nu","Įvertinkite terminų nukėlimo poveikį (pasirinkite paaiškinimą iš sąrašo D stulpelyje → arba pakomentuokite↓)","")</f>
        <v/>
      </c>
      <c r="D62" s="602" t="s">
        <v>944</v>
      </c>
      <c r="E62" s="602"/>
      <c r="F62" s="602"/>
      <c r="G62" s="325"/>
      <c r="K62" s="61"/>
    </row>
    <row r="63" spans="1:17" ht="33" customHeight="1" x14ac:dyDescent="0.25">
      <c r="B63" s="324"/>
      <c r="C63" s="311" t="s">
        <v>145</v>
      </c>
      <c r="D63" s="597"/>
      <c r="E63" s="597"/>
      <c r="F63" s="597"/>
      <c r="G63" s="325"/>
      <c r="K63" s="61"/>
    </row>
    <row r="64" spans="1:17" ht="33" customHeight="1" x14ac:dyDescent="0.25">
      <c r="B64" s="324"/>
      <c r="C64" s="302"/>
      <c r="D64" s="302"/>
      <c r="E64" s="302"/>
      <c r="F64" s="302"/>
      <c r="G64" s="325"/>
      <c r="K64" s="61"/>
    </row>
    <row r="65" spans="1:18" x14ac:dyDescent="0.25">
      <c r="A65" s="52" t="s">
        <v>116</v>
      </c>
      <c r="B65" s="324"/>
      <c r="G65" s="325"/>
      <c r="K65" s="61" t="s">
        <v>155</v>
      </c>
    </row>
    <row r="66" spans="1:18" x14ac:dyDescent="0.25">
      <c r="B66" s="324"/>
      <c r="G66" s="325"/>
      <c r="K66" s="61"/>
    </row>
    <row r="67" spans="1:18" x14ac:dyDescent="0.25">
      <c r="A67" s="52" t="s">
        <v>116</v>
      </c>
      <c r="B67" s="324"/>
      <c r="C67" s="298" t="str">
        <f>"Planuojamų sukurti produktų pokytis"&amp;IF(N77&gt;0,""," – nenumatomas")</f>
        <v>Planuojamų sukurti produktų pokytis</v>
      </c>
      <c r="G67" s="325"/>
      <c r="K67" s="61"/>
    </row>
    <row r="68" spans="1:18" x14ac:dyDescent="0.25">
      <c r="A68" s="52" t="str">
        <f t="shared" ref="A68:A76" si="5">IF(LEN(C68)&gt;0,"Rodyti","")</f>
        <v>Rodyti</v>
      </c>
      <c r="B68" s="324"/>
      <c r="C68" s="313" t="s">
        <v>156</v>
      </c>
      <c r="D68" s="313" t="s">
        <v>157</v>
      </c>
      <c r="E68" s="313" t="s">
        <v>943</v>
      </c>
      <c r="G68" s="325"/>
      <c r="H68" s="51" t="s">
        <v>158</v>
      </c>
      <c r="I68" s="51" t="s">
        <v>159</v>
      </c>
      <c r="J68" s="51" t="s">
        <v>120</v>
      </c>
      <c r="K68" s="49" t="s">
        <v>121</v>
      </c>
      <c r="L68" s="52" t="s">
        <v>160</v>
      </c>
      <c r="O68" s="52" t="s">
        <v>161</v>
      </c>
      <c r="P68" s="52" t="s">
        <v>162</v>
      </c>
    </row>
    <row r="69" spans="1:18" ht="44.1" customHeight="1" x14ac:dyDescent="0.25">
      <c r="A69" s="52" t="str">
        <f t="shared" si="5"/>
        <v>Rodyti</v>
      </c>
      <c r="B69" s="324"/>
      <c r="C69" s="341" t="str">
        <f>IFERROR(INDEX($R$69:$R$76,SMALL($P$69:$P$76,1)),"")</f>
        <v xml:space="preserve"> </v>
      </c>
      <c r="D69" s="340">
        <f>IFERROR(INDEX($Q$69:$Q$76,SMALL($P$69:$P$76,1)),"")</f>
        <v>-100</v>
      </c>
      <c r="E69" s="340" t="str">
        <f>IFERROR(INDEX($M$69:$M$74,SMALL($P$69:$P$76,1)),"")</f>
        <v>Išbraukiamas</v>
      </c>
      <c r="G69" s="325"/>
      <c r="H69" s="51">
        <v>3</v>
      </c>
      <c r="I69" s="51">
        <v>1</v>
      </c>
      <c r="J69" s="51">
        <f>INDEX('RPD ivedimas'!$D$35:$D$52,H69,1)</f>
        <v>100</v>
      </c>
      <c r="K69" s="49">
        <f>INDEX('1_punktas'!$D$115:D132,H69,1)</f>
        <v>0</v>
      </c>
      <c r="L69" s="52" t="b">
        <f>IF(K69&gt;0,TRUE,FALSE)</f>
        <v>0</v>
      </c>
      <c r="M69" s="52" t="str">
        <f t="shared" ref="M69:M71" si="6">IF(J69=0,"Nustatomas",IF(K69=0,"Išbraukiamas","Keičiamas"))</f>
        <v>Išbraukiamas</v>
      </c>
      <c r="N69" s="52">
        <f>ABS(K69-J69)</f>
        <v>100</v>
      </c>
      <c r="O69" s="52" t="b">
        <f>IF(N69&gt;0,TRUE,FALSE)</f>
        <v>1</v>
      </c>
      <c r="P69" s="52">
        <f>IF(O69,I69,"")</f>
        <v>1</v>
      </c>
      <c r="Q69" s="53">
        <f>K69-J69</f>
        <v>-100</v>
      </c>
      <c r="R69" s="53" t="str">
        <f>IF(L69,INDEX('1_punktas'!$D$115:$D$132,H69-2,1)&amp;" "&amp;INDEX('1_punktas'!$D$115:$D$132,H69-1,1),INDEX('RPD ivedimas'!$D$35:$D$52,H69-2,1)&amp;" "&amp;INDEX('RPD ivedimas'!$D$35:$D$52,H69-1,1))</f>
        <v xml:space="preserve"> </v>
      </c>
    </row>
    <row r="70" spans="1:18" ht="44.1" customHeight="1" x14ac:dyDescent="0.25">
      <c r="A70" s="52" t="str">
        <f t="shared" si="5"/>
        <v>Rodyti</v>
      </c>
      <c r="B70" s="324"/>
      <c r="C70" s="341" t="str">
        <f>IFERROR(INDEX($R$69:$R$76,SMALL($P$69:$P$76,2)),"")</f>
        <v xml:space="preserve"> produktas</v>
      </c>
      <c r="D70" s="340">
        <f>IFERROR(INDEX($Q$69:$Q$76,SMALL($P$69:$P$76,2)),"")</f>
        <v>-5000</v>
      </c>
      <c r="E70" s="340" t="str">
        <f>IFERROR(INDEX($M$69:$M$74,SMALL($P$69:$P$76,2)),"")</f>
        <v>Išbraukiamas</v>
      </c>
      <c r="G70" s="325"/>
      <c r="H70" s="51">
        <f>H69+3</f>
        <v>6</v>
      </c>
      <c r="I70" s="51">
        <v>2</v>
      </c>
      <c r="J70" s="51">
        <f>INDEX('RPD ivedimas'!$D$35:$D$52,H70,1)</f>
        <v>0</v>
      </c>
      <c r="K70" s="49">
        <f>INDEX('1_punktas'!$D$115:D132,H70,1)</f>
        <v>0</v>
      </c>
      <c r="L70" s="52" t="b">
        <f t="shared" ref="L70:L74" si="7">IF(K70&gt;0,TRUE,FALSE)</f>
        <v>0</v>
      </c>
      <c r="M70" s="52" t="str">
        <f t="shared" si="6"/>
        <v>Nustatomas</v>
      </c>
      <c r="N70" s="52">
        <f t="shared" ref="N70:N74" si="8">ABS(K70-J70)</f>
        <v>0</v>
      </c>
      <c r="O70" s="52" t="b">
        <f t="shared" ref="O70:O74" si="9">IF(N70&gt;0,TRUE,FALSE)</f>
        <v>0</v>
      </c>
      <c r="P70" s="52" t="str">
        <f t="shared" ref="P70:P74" si="10">IF(O70,I70,"")</f>
        <v/>
      </c>
      <c r="Q70" s="53">
        <f t="shared" ref="Q70:Q74" si="11">K70-J70</f>
        <v>0</v>
      </c>
      <c r="R70" s="53" t="str">
        <f>IF(L70,INDEX('1_punktas'!$D$115:$D$132,H70-2,1)&amp;" "&amp;INDEX('1_punktas'!$D$115:$D$132,H70-1,1),INDEX('RPD ivedimas'!$D$35:$D$52,H70-2,1)&amp;" "&amp;INDEX('RPD ivedimas'!$D$35:$D$52,H70-1,1))</f>
        <v xml:space="preserve"> </v>
      </c>
    </row>
    <row r="71" spans="1:18" ht="44.1" customHeight="1" x14ac:dyDescent="0.25">
      <c r="A71" s="52" t="str">
        <f t="shared" si="5"/>
        <v/>
      </c>
      <c r="B71" s="324"/>
      <c r="C71" s="341" t="str">
        <f>IFERROR(INDEX($R$69:$R$76,SMALL($P$69:$P$76,3)),"")</f>
        <v/>
      </c>
      <c r="D71" s="340" t="str">
        <f>IFERROR(INDEX($Q$69:$Q$76,SMALL($P$69:$P$76,3)),"")</f>
        <v/>
      </c>
      <c r="E71" s="340" t="str">
        <f>IFERROR(INDEX($M$69:$M$74,SMALL($P$69:$P$74,3)),"")</f>
        <v/>
      </c>
      <c r="G71" s="325"/>
      <c r="H71" s="51">
        <f t="shared" ref="H71:H74" si="12">H70+3</f>
        <v>9</v>
      </c>
      <c r="I71" s="51">
        <v>3</v>
      </c>
      <c r="J71" s="51">
        <f>INDEX('RPD ivedimas'!$D$35:$D$52,H71,1)</f>
        <v>0</v>
      </c>
      <c r="K71" s="49">
        <f>INDEX('1_punktas'!$D$115:D133,H71,1)</f>
        <v>0</v>
      </c>
      <c r="L71" s="52" t="b">
        <f t="shared" si="7"/>
        <v>0</v>
      </c>
      <c r="M71" s="52" t="str">
        <f t="shared" si="6"/>
        <v>Nustatomas</v>
      </c>
      <c r="N71" s="52">
        <f t="shared" si="8"/>
        <v>0</v>
      </c>
      <c r="O71" s="52" t="b">
        <f t="shared" si="9"/>
        <v>0</v>
      </c>
      <c r="P71" s="52" t="str">
        <f t="shared" si="10"/>
        <v/>
      </c>
      <c r="Q71" s="53">
        <f t="shared" si="11"/>
        <v>0</v>
      </c>
      <c r="R71" s="53" t="str">
        <f>IF(L71,INDEX('1_punktas'!$D$115:$D$132,H71-2,1)&amp;" "&amp;INDEX('1_punktas'!$D$115:$D$132,H71-1,1),INDEX('RPD ivedimas'!$D$35:$D$52,H71-2,1)&amp;" "&amp;INDEX('RPD ivedimas'!$D$35:$D$52,H71-1,1))</f>
        <v xml:space="preserve"> </v>
      </c>
    </row>
    <row r="72" spans="1:18" ht="44.1" customHeight="1" x14ac:dyDescent="0.25">
      <c r="A72" s="52" t="str">
        <f t="shared" si="5"/>
        <v/>
      </c>
      <c r="B72" s="324"/>
      <c r="C72" s="341" t="str">
        <f>IFERROR(INDEX($R$69:$R$76,SMALL($P$69:$P$76,4)),"")</f>
        <v/>
      </c>
      <c r="D72" s="340" t="str">
        <f>IFERROR(INDEX($Q$69:$Q$76,SMALL($P$69:$P$76,4)),"")</f>
        <v/>
      </c>
      <c r="E72" s="340" t="str">
        <f>IFERROR(INDEX($M$69:$M$74,SMALL($P$69:$P$74,4)),"")</f>
        <v/>
      </c>
      <c r="G72" s="325"/>
      <c r="H72" s="51">
        <f t="shared" si="12"/>
        <v>12</v>
      </c>
      <c r="I72" s="51">
        <v>4</v>
      </c>
      <c r="J72" s="51">
        <f>INDEX('RPD ivedimas'!$D$35:$D$52,H72,1)</f>
        <v>0</v>
      </c>
      <c r="K72" s="49">
        <f>INDEX('1_punktas'!$D$115:D134,H72,1)</f>
        <v>0</v>
      </c>
      <c r="L72" s="52" t="b">
        <f t="shared" si="7"/>
        <v>0</v>
      </c>
      <c r="M72" s="52" t="str">
        <f t="shared" ref="M72:M74" si="13">IF(J72=0,"Nustatomas",IF(K72=0,"Išbraukiamas","Keičiamas"))</f>
        <v>Nustatomas</v>
      </c>
      <c r="N72" s="52">
        <f t="shared" si="8"/>
        <v>0</v>
      </c>
      <c r="O72" s="52" t="b">
        <f t="shared" si="9"/>
        <v>0</v>
      </c>
      <c r="P72" s="52" t="str">
        <f t="shared" si="10"/>
        <v/>
      </c>
      <c r="Q72" s="53">
        <f t="shared" si="11"/>
        <v>0</v>
      </c>
      <c r="R72" s="53" t="str">
        <f>IF(L72,INDEX('1_punktas'!$D$115:$D$132,H72-2,1)&amp;" "&amp;INDEX('1_punktas'!$D$115:$D$132,H72-1,1),INDEX('RPD ivedimas'!$D$35:$D$52,H72-2,1)&amp;" "&amp;INDEX('RPD ivedimas'!$D$35:$D$52,H72-1,1))</f>
        <v xml:space="preserve"> </v>
      </c>
    </row>
    <row r="73" spans="1:18" ht="62.25" customHeight="1" x14ac:dyDescent="0.25">
      <c r="A73" s="52" t="str">
        <f t="shared" si="5"/>
        <v/>
      </c>
      <c r="B73" s="324"/>
      <c r="C73" s="341" t="str">
        <f>IFERROR(INDEX($R$69:$R$76,SMALL($P$69:$P$76,5)),"")</f>
        <v/>
      </c>
      <c r="D73" s="340" t="str">
        <f>IFERROR(INDEX($Q$69:$Q$76,SMALL($P$69:$P$76,5)),"")</f>
        <v/>
      </c>
      <c r="E73" s="340" t="str">
        <f>IFERROR(INDEX($M$69:$M$74,SMALL($P$69:$P$74,5)),"")</f>
        <v/>
      </c>
      <c r="G73" s="325"/>
      <c r="H73" s="51">
        <f t="shared" si="12"/>
        <v>15</v>
      </c>
      <c r="I73" s="51">
        <v>5</v>
      </c>
      <c r="J73" s="51">
        <f>INDEX('RPD ivedimas'!$D$35:$D$52,H73,1)</f>
        <v>0</v>
      </c>
      <c r="K73" s="49">
        <f>INDEX('1_punktas'!$D$115:D135,H73,1)</f>
        <v>0</v>
      </c>
      <c r="L73" s="52" t="b">
        <f t="shared" si="7"/>
        <v>0</v>
      </c>
      <c r="M73" s="52" t="str">
        <f t="shared" si="13"/>
        <v>Nustatomas</v>
      </c>
      <c r="N73" s="52">
        <f t="shared" si="8"/>
        <v>0</v>
      </c>
      <c r="O73" s="52" t="b">
        <f t="shared" si="9"/>
        <v>0</v>
      </c>
      <c r="P73" s="52" t="str">
        <f t="shared" si="10"/>
        <v/>
      </c>
      <c r="Q73" s="53">
        <f t="shared" si="11"/>
        <v>0</v>
      </c>
      <c r="R73" s="53" t="str">
        <f>IF(L73,INDEX('1_punktas'!$D$115:$D$132,H73-2,1)&amp;" "&amp;INDEX('1_punktas'!$D$115:$D$132,H73-1,1),INDEX('RPD ivedimas'!$D$35:$D$52,H73-2,1)&amp;" "&amp;INDEX('RPD ivedimas'!$D$35:$D$52,H73-1,1))</f>
        <v xml:space="preserve"> </v>
      </c>
    </row>
    <row r="74" spans="1:18" ht="81.75" customHeight="1" x14ac:dyDescent="0.25">
      <c r="A74" s="52" t="str">
        <f t="shared" si="5"/>
        <v/>
      </c>
      <c r="B74" s="324"/>
      <c r="C74" s="341" t="str">
        <f>IFERROR(INDEX($R$69:$R$74,SMALL($P$69:$P$74,6)),"")</f>
        <v/>
      </c>
      <c r="D74" s="340" t="str">
        <f>IFERROR(INDEX($Q$69:$Q$76,SMALL($P$69:$P$76,6)),"")</f>
        <v/>
      </c>
      <c r="E74" s="340" t="str">
        <f>IFERROR(INDEX($M$69:$M$74,SMALL($P$69:$P$74,6)),"")</f>
        <v/>
      </c>
      <c r="G74" s="325"/>
      <c r="H74" s="51">
        <f t="shared" si="12"/>
        <v>18</v>
      </c>
      <c r="I74" s="51">
        <v>6</v>
      </c>
      <c r="J74" s="51">
        <f>INDEX('RPD ivedimas'!$D$35:$D$52,H74,1)</f>
        <v>5000</v>
      </c>
      <c r="K74" s="49">
        <f>INDEX('1_punktas'!$D$115:D135,H74,1)</f>
        <v>0</v>
      </c>
      <c r="L74" s="52" t="b">
        <f t="shared" si="7"/>
        <v>0</v>
      </c>
      <c r="M74" s="52" t="str">
        <f t="shared" si="13"/>
        <v>Išbraukiamas</v>
      </c>
      <c r="N74" s="52">
        <f t="shared" si="8"/>
        <v>5000</v>
      </c>
      <c r="O74" s="52" t="b">
        <f t="shared" si="9"/>
        <v>1</v>
      </c>
      <c r="P74" s="52">
        <f t="shared" si="10"/>
        <v>6</v>
      </c>
      <c r="Q74" s="53">
        <f t="shared" si="11"/>
        <v>-5000</v>
      </c>
      <c r="R74" s="53" t="str">
        <f>IF(L74,INDEX('1_punktas'!$D$115:$D$132,H74-2,1)&amp;" "&amp;INDEX('1_punktas'!$D$115:$D$132,H74-1,1),INDEX('RPD ivedimas'!$D$35:$D$52,H74-2,1)&amp;" "&amp;INDEX('RPD ivedimas'!$D$35:$D$52,H74-1,1))</f>
        <v xml:space="preserve"> produktas</v>
      </c>
    </row>
    <row r="75" spans="1:18" ht="44.1" customHeight="1" x14ac:dyDescent="0.25">
      <c r="A75" s="52" t="str">
        <f t="shared" si="5"/>
        <v/>
      </c>
      <c r="B75" s="324"/>
      <c r="C75" s="314" t="str">
        <f>IFERROR(INDEX($R$69:$R$76,SMALL($P$69:$P$76,7)),"")</f>
        <v/>
      </c>
      <c r="D75" s="315" t="str">
        <f>IFERROR(INDEX($Q$69:$Q$76,SMALL($P$69:$P$76,7)),"")</f>
        <v/>
      </c>
      <c r="E75" s="315" t="str">
        <f>IFERROR(INDEX($M$69:$M$76,SMALL($P$69:$P$76,7)),"")</f>
        <v/>
      </c>
      <c r="G75" s="325"/>
      <c r="J75" s="51"/>
      <c r="K75" s="49"/>
    </row>
    <row r="76" spans="1:18" ht="44.1" customHeight="1" x14ac:dyDescent="0.25">
      <c r="A76" s="52" t="str">
        <f t="shared" si="5"/>
        <v/>
      </c>
      <c r="B76" s="324"/>
      <c r="C76" s="314" t="str">
        <f>IFERROR(INDEX($R$69:$R$76,SMALL($P$69:$P$76,8)),"")</f>
        <v/>
      </c>
      <c r="D76" s="315" t="str">
        <f>IFERROR(INDEX($Q$69:$Q$76,SMALL($P$69:$P$76,8)),"")</f>
        <v/>
      </c>
      <c r="E76" s="315" t="str">
        <f>IFERROR(INDEX($M$69:$M$76,SMALL($P$69:$P$76,8)),"")</f>
        <v/>
      </c>
      <c r="G76" s="325"/>
      <c r="J76" s="51"/>
      <c r="K76" s="49"/>
    </row>
    <row r="77" spans="1:18" ht="15.95" customHeight="1" x14ac:dyDescent="0.25">
      <c r="A77" s="52" t="s">
        <v>116</v>
      </c>
      <c r="B77" s="324"/>
      <c r="G77" s="325"/>
      <c r="J77" s="51"/>
      <c r="K77" s="49"/>
      <c r="N77" s="52">
        <f>SUM(N69:N74)</f>
        <v>5100</v>
      </c>
      <c r="Q77" s="69" t="b">
        <f>OR(Q69&lt;0,Q70&lt;0,Q71&lt;0,Q72&lt;0,Q73&lt;Q74)</f>
        <v>1</v>
      </c>
    </row>
    <row r="78" spans="1:18" ht="15.95" customHeight="1" x14ac:dyDescent="0.25">
      <c r="B78" s="324"/>
      <c r="G78" s="325"/>
      <c r="H78" s="54"/>
      <c r="J78" s="51"/>
      <c r="K78" s="49"/>
    </row>
    <row r="79" spans="1:18" ht="33" customHeight="1" x14ac:dyDescent="0.25">
      <c r="B79" s="324"/>
      <c r="C79" s="603" t="str">
        <f>IF(AND(Q77&gt;0,'1_punktas'!D68="R"),"Numatytas regionininio planavimo būdu atrenkamo projekto produkto rodiklių sumažinimas – įvertinkite galimą poveikį PFSA regionui nustatytų rodiklių pasiekimui","")</f>
        <v/>
      </c>
      <c r="D79" s="603"/>
      <c r="E79" s="603"/>
      <c r="F79" s="603"/>
      <c r="G79" s="325"/>
      <c r="H79" s="54"/>
      <c r="J79" s="51"/>
      <c r="K79" s="49"/>
    </row>
    <row r="80" spans="1:18" ht="54.95" customHeight="1" x14ac:dyDescent="0.25">
      <c r="B80" s="324"/>
      <c r="C80" s="310" t="str">
        <f>IF(LEN(C79)&lt;&gt;0,"Įvertinkite rodiklių pakeitimo poveikį (pasirinkite paaiškinimą iš sąrašo D stulpelyje → arba pakomentuokite↓)","")</f>
        <v/>
      </c>
      <c r="D80" s="602" t="s">
        <v>932</v>
      </c>
      <c r="E80" s="602"/>
      <c r="F80" s="602"/>
      <c r="G80" s="325"/>
      <c r="H80" s="54"/>
      <c r="J80" s="51"/>
      <c r="K80" s="49"/>
    </row>
    <row r="81" spans="1:16" ht="38.1" customHeight="1" x14ac:dyDescent="0.25">
      <c r="B81" s="324"/>
      <c r="C81" s="311" t="s">
        <v>145</v>
      </c>
      <c r="D81" s="597"/>
      <c r="E81" s="597"/>
      <c r="F81" s="597"/>
      <c r="G81" s="325"/>
      <c r="H81"/>
      <c r="J81" s="51"/>
      <c r="K81" s="49"/>
    </row>
    <row r="82" spans="1:16" ht="15.95" customHeight="1" thickBot="1" x14ac:dyDescent="0.3">
      <c r="B82" s="326"/>
      <c r="C82" s="333"/>
      <c r="D82" s="334"/>
      <c r="E82" s="334"/>
      <c r="F82" s="334"/>
      <c r="G82" s="329"/>
      <c r="H82"/>
      <c r="J82" s="51"/>
      <c r="K82" s="49" t="s">
        <v>154</v>
      </c>
    </row>
    <row r="83" spans="1:16" ht="15.95" customHeight="1" thickBot="1" x14ac:dyDescent="0.3">
      <c r="C83" s="311"/>
      <c r="D83" s="312"/>
      <c r="E83" s="312"/>
      <c r="F83" s="312"/>
      <c r="H83"/>
      <c r="J83" s="51"/>
      <c r="K83" s="49"/>
    </row>
    <row r="84" spans="1:16" ht="15.95" customHeight="1" x14ac:dyDescent="0.25">
      <c r="B84" s="330" t="s">
        <v>163</v>
      </c>
      <c r="C84" s="331" t="s">
        <v>164</v>
      </c>
      <c r="D84" s="332"/>
      <c r="E84" s="332"/>
      <c r="F84" s="332"/>
      <c r="G84" s="323"/>
      <c r="H84"/>
      <c r="J84" s="51"/>
      <c r="K84" s="49"/>
    </row>
    <row r="85" spans="1:16" ht="15.95" customHeight="1" x14ac:dyDescent="0.25">
      <c r="B85" s="324"/>
      <c r="C85" s="316" t="str">
        <f>INDEX(klaidos!B72:B73,SMALL(klaidos!D72:D73,1))</f>
        <v>Siūlomų pakeitimų įvertinimas atliekamas tik esant tinkamai užpildytai pasiūlymo formai; ištaisykite klaidas 1 ar 3 lentelėse</v>
      </c>
      <c r="D85" s="312"/>
      <c r="E85" s="312"/>
      <c r="F85" s="312"/>
      <c r="G85" s="325"/>
      <c r="H85"/>
      <c r="J85" s="51"/>
      <c r="K85" s="49"/>
    </row>
    <row r="86" spans="1:16" ht="15.95" customHeight="1" x14ac:dyDescent="0.25">
      <c r="B86" s="324"/>
      <c r="C86" s="298" t="str">
        <f>IF(OR(AND('1_punktas'!K32,'1_punktas'!K47),'1_punktas'!K33),"Netaikoma","Ar siūlomas projektas atitinka Plano tikslus ir uždavinius?")</f>
        <v>Ar siūlomas projektas atitinka Plano tikslus ir uždavinius?</v>
      </c>
      <c r="D86" s="317"/>
      <c r="E86" s="312"/>
      <c r="F86" s="312"/>
      <c r="G86" s="325"/>
      <c r="H86"/>
      <c r="J86" s="51"/>
      <c r="K86" s="49"/>
    </row>
    <row r="87" spans="1:16" ht="27.95" customHeight="1" thickBot="1" x14ac:dyDescent="0.3">
      <c r="A87" s="296"/>
      <c r="B87" s="326"/>
      <c r="C87" s="333" t="s">
        <v>145</v>
      </c>
      <c r="D87" s="606"/>
      <c r="E87" s="606"/>
      <c r="F87" s="606"/>
      <c r="G87" s="329"/>
      <c r="H87" s="55"/>
      <c r="I87" s="55"/>
    </row>
    <row r="88" spans="1:16" ht="15.95" customHeight="1" thickBot="1" x14ac:dyDescent="0.3">
      <c r="A88" s="52" t="s">
        <v>116</v>
      </c>
    </row>
    <row r="89" spans="1:16" ht="34.5" customHeight="1" x14ac:dyDescent="0.25">
      <c r="A89" s="52" t="s">
        <v>116</v>
      </c>
      <c r="B89" s="319" t="s">
        <v>928</v>
      </c>
      <c r="C89" s="320" t="s">
        <v>166</v>
      </c>
      <c r="D89" s="321" t="s">
        <v>933</v>
      </c>
      <c r="E89" s="321"/>
      <c r="F89" s="322"/>
      <c r="G89" s="323"/>
      <c r="J89" s="63" t="s">
        <v>167</v>
      </c>
      <c r="K89" s="64" t="b">
        <f>IF(L89&gt;0,TRUE)</f>
        <v>1</v>
      </c>
      <c r="L89" s="52">
        <f>COUNTIF(D69:D76,"&lt;0")</f>
        <v>2</v>
      </c>
      <c r="N89" s="52" t="s">
        <v>168</v>
      </c>
    </row>
    <row r="90" spans="1:16" ht="65.099999999999994" customHeight="1" x14ac:dyDescent="0.25">
      <c r="A90" s="52" t="s">
        <v>116</v>
      </c>
      <c r="B90" s="324"/>
      <c r="C90" s="318" t="s">
        <v>931</v>
      </c>
      <c r="D90" s="299" t="str">
        <f>IF(K94,"Esminis pakeitimas (su plano dalies „Strategija“ keitimu)",IF(N95,"Neesminis keitimas (į rezervinį projektą)",IF(K95,IF(P90,"Neesminis pakeitimas (pakeitus ITVP)","Esminis pakeitimas"),"Neesminis pakeitimas")))</f>
        <v>Neesminis pakeitimas</v>
      </c>
      <c r="E90" s="299"/>
      <c r="G90" s="325"/>
      <c r="J90" s="63" t="s">
        <v>937</v>
      </c>
      <c r="K90" s="64"/>
      <c r="N90" s="52">
        <f>IFERROR(FIND("ITI",'RPD ivedimas'!D17,1),0)</f>
        <v>0</v>
      </c>
      <c r="O90" s="52">
        <f>IFERROR(FIND("ITI",'1_punktas'!D69,1),0)</f>
        <v>0</v>
      </c>
      <c r="P90" s="52" t="b">
        <f>IF(SUM(N90:O90)&gt;0,TRUE,FALSE)</f>
        <v>0</v>
      </c>
    </row>
    <row r="91" spans="1:16" ht="27.95" customHeight="1" x14ac:dyDescent="0.25">
      <c r="A91" s="52" t="s">
        <v>116</v>
      </c>
      <c r="B91" s="324"/>
      <c r="C91" s="299"/>
      <c r="D91" s="299"/>
      <c r="E91" s="299"/>
      <c r="G91" s="325"/>
      <c r="J91" s="63" t="s">
        <v>169</v>
      </c>
      <c r="K91" s="64" t="b">
        <f>'1_punktas'!K32</f>
        <v>0</v>
      </c>
    </row>
    <row r="92" spans="1:16" ht="57.95" customHeight="1" x14ac:dyDescent="0.25">
      <c r="A92" s="52" t="s">
        <v>116</v>
      </c>
      <c r="B92" s="324"/>
      <c r="C92" s="318" t="s">
        <v>930</v>
      </c>
      <c r="D92" s="318" t="s">
        <v>175</v>
      </c>
      <c r="E92" s="318" t="s">
        <v>176</v>
      </c>
      <c r="G92" s="325"/>
      <c r="J92" s="63" t="s">
        <v>170</v>
      </c>
      <c r="K92" s="64" t="b">
        <f>'1_punktas'!K33</f>
        <v>0</v>
      </c>
      <c r="N92" s="52" t="s">
        <v>171</v>
      </c>
    </row>
    <row r="93" spans="1:16" ht="15.95" customHeight="1" x14ac:dyDescent="0.25">
      <c r="B93" s="324"/>
      <c r="C93" s="299" t="str">
        <f>IFERROR(INDEX(checklist!$B$2:$B$6,SMALL(checklist!$I$2:$I$6,1),1),"")</f>
        <v>Nustatyti (panaikinti) regioninės svarbos projekto statusą</v>
      </c>
      <c r="D93" s="299" t="s">
        <v>165</v>
      </c>
      <c r="E93" s="299"/>
      <c r="G93" s="325"/>
      <c r="J93" s="63"/>
      <c r="K93" s="64"/>
    </row>
    <row r="94" spans="1:16" ht="30.95" customHeight="1" x14ac:dyDescent="0.25">
      <c r="A94" s="52" t="str">
        <f>IF(LEN(E26)&gt;0,"Rodyti","")</f>
        <v/>
      </c>
      <c r="B94" s="324"/>
      <c r="C94" s="299" t="str">
        <f>IFERROR(INDEX(checklist!$B$2:$B$6,SMALL(checklist!$I$2:$I$6,2),1),"")</f>
        <v/>
      </c>
      <c r="D94" s="299" t="s">
        <v>165</v>
      </c>
      <c r="E94" s="299"/>
      <c r="G94" s="325"/>
      <c r="J94" s="65" t="s">
        <v>172</v>
      </c>
      <c r="K94" s="66" t="b">
        <f>IF('1_punktas'!J43,TRUE,IF(D86="Siūloma nustatyti (keisti) uždavinį",TRUE,FALSE))</f>
        <v>0</v>
      </c>
      <c r="L94" s="67"/>
    </row>
    <row r="95" spans="1:16" ht="30" customHeight="1" x14ac:dyDescent="0.25">
      <c r="A95" s="52" t="str">
        <f>IF(LEN(C26)&gt;0,"Rodyti","")</f>
        <v/>
      </c>
      <c r="B95" s="324"/>
      <c r="C95" s="294" t="str">
        <f>IFERROR(INDEX(checklist!$B$2:$B$6,SMALL(checklist!$I$2:$I$6,3),1),"")</f>
        <v/>
      </c>
      <c r="G95" s="325"/>
      <c r="J95" s="63"/>
      <c r="K95" s="68" t="b">
        <f>AND(OR(K89:K94),O96)</f>
        <v>0</v>
      </c>
      <c r="M95" s="52" t="s">
        <v>173</v>
      </c>
      <c r="N95" s="52" t="b">
        <f>IF(D26="Taip",TRUE,FALSE)</f>
        <v>0</v>
      </c>
    </row>
    <row r="96" spans="1:16" ht="18" customHeight="1" x14ac:dyDescent="0.25">
      <c r="A96" s="52" t="s">
        <v>116</v>
      </c>
      <c r="B96" s="324"/>
      <c r="C96" s="294" t="str">
        <f>IFERROR(INDEX(checklist!$B$2:$B$6,SMALL(checklist!$I$2:$I$6,4),1),"")</f>
        <v/>
      </c>
      <c r="G96" s="325"/>
      <c r="M96" s="52" t="s">
        <v>174</v>
      </c>
      <c r="N96" s="52">
        <f>'RPD ivedimas'!D24+'RPD ivedimas'!D26+'RPD ivedimas'!D27+'1_punktas'!D82+'1_punktas'!D84+'1_punktas'!D85</f>
        <v>0</v>
      </c>
      <c r="O96" s="52" t="b">
        <f>IF(N96&gt;0,TRUE,FALSE)</f>
        <v>0</v>
      </c>
    </row>
    <row r="97" spans="1:10" ht="30.95" customHeight="1" x14ac:dyDescent="0.25">
      <c r="A97" s="52" t="s">
        <v>116</v>
      </c>
      <c r="B97" s="324"/>
      <c r="C97" s="294" t="str">
        <f>IFERROR(INDEX(checklist!$B$2:$B$6,SMALL(checklist!$I$2:$I$6,5),1),"")</f>
        <v/>
      </c>
      <c r="G97" s="325"/>
    </row>
    <row r="98" spans="1:10" ht="27.95" customHeight="1" x14ac:dyDescent="0.25">
      <c r="A98" s="52" t="str">
        <f>IF(LEN(C93)&gt;0,"Rodyti","")</f>
        <v>Rodyti</v>
      </c>
      <c r="B98" s="324"/>
      <c r="C98" s="299" t="s">
        <v>929</v>
      </c>
      <c r="D98" s="318" t="str">
        <f>IF(J113=0,"Teikti svarstyti pasiūlymą regiono plėtros tarybai","Nebaigtas derinimo procesas")</f>
        <v>Teikti svarstyti pasiūlymą regiono plėtros tarybai</v>
      </c>
      <c r="G98" s="325"/>
    </row>
    <row r="99" spans="1:10" ht="27.95" customHeight="1" thickBot="1" x14ac:dyDescent="0.3">
      <c r="B99" s="326"/>
      <c r="C99" s="327"/>
      <c r="D99" s="327"/>
      <c r="E99" s="328"/>
      <c r="F99" s="328"/>
      <c r="G99" s="329"/>
    </row>
    <row r="100" spans="1:10" ht="27.95" customHeight="1" x14ac:dyDescent="0.25">
      <c r="A100" s="52" t="str">
        <f>IF(LEN(C95)&gt;0,"Rodyti","")</f>
        <v/>
      </c>
      <c r="C100" s="28"/>
      <c r="D100" s="28"/>
      <c r="E100" s="28"/>
    </row>
    <row r="101" spans="1:10" ht="27.95" customHeight="1" x14ac:dyDescent="0.25">
      <c r="A101" s="52" t="str">
        <f>IF(LEN(C96)&gt;0,"Rodyti","")</f>
        <v/>
      </c>
      <c r="C101" s="28"/>
      <c r="D101" s="28"/>
      <c r="E101" s="28"/>
    </row>
    <row r="102" spans="1:10" ht="27.95" customHeight="1" x14ac:dyDescent="0.25">
      <c r="A102" s="52" t="str">
        <f>IF(LEN(C97)&gt;0,"Rodyti","")</f>
        <v/>
      </c>
      <c r="C102" s="28"/>
      <c r="D102" s="28"/>
      <c r="E102" s="28"/>
    </row>
    <row r="103" spans="1:10" x14ac:dyDescent="0.25">
      <c r="C103" s="28"/>
      <c r="D103" s="28"/>
      <c r="E103" s="28"/>
    </row>
    <row r="104" spans="1:10" x14ac:dyDescent="0.25">
      <c r="C104" s="28"/>
      <c r="D104" s="28"/>
      <c r="E104" s="28"/>
    </row>
    <row r="105" spans="1:10" x14ac:dyDescent="0.25">
      <c r="J105" s="49">
        <f>IFERROR(FIND("Ne",D86),0)</f>
        <v>0</v>
      </c>
    </row>
    <row r="107" spans="1:10" x14ac:dyDescent="0.25">
      <c r="J107" s="49">
        <f>IFERROR(FIND("Grąžinti",D89),0)</f>
        <v>0</v>
      </c>
    </row>
    <row r="108" spans="1:10" x14ac:dyDescent="0.25">
      <c r="J108" s="49">
        <f>IFERROR(FIND("Ne",D93),0)</f>
        <v>0</v>
      </c>
    </row>
    <row r="109" spans="1:10" x14ac:dyDescent="0.25">
      <c r="J109" s="49">
        <f>IFERROR(FIND("Ne",D94),0)</f>
        <v>0</v>
      </c>
    </row>
    <row r="110" spans="1:10" x14ac:dyDescent="0.25">
      <c r="A110" s="246"/>
      <c r="B110" s="246"/>
      <c r="C110" s="246"/>
      <c r="D110" s="246"/>
      <c r="E110" s="246"/>
      <c r="F110" s="246"/>
      <c r="G110" s="246"/>
      <c r="J110" s="49">
        <f>IFERROR(FIND("Ne",D95),0)</f>
        <v>0</v>
      </c>
    </row>
    <row r="111" spans="1:10" x14ac:dyDescent="0.25">
      <c r="A111" s="246"/>
      <c r="B111" s="246"/>
      <c r="C111" s="246"/>
      <c r="D111" s="246"/>
      <c r="E111" s="246"/>
      <c r="F111" s="246"/>
      <c r="G111" s="246"/>
      <c r="J111" s="49">
        <f>IFERROR(FIND("Ne",D96),0)</f>
        <v>0</v>
      </c>
    </row>
    <row r="112" spans="1:10" x14ac:dyDescent="0.25">
      <c r="A112" s="246"/>
      <c r="B112" s="246"/>
      <c r="C112" s="246"/>
      <c r="D112" s="246"/>
      <c r="E112" s="246"/>
      <c r="F112" s="246"/>
      <c r="G112" s="246"/>
      <c r="J112" s="49">
        <f>IFERROR(FIND("Ne",D97),0)</f>
        <v>0</v>
      </c>
    </row>
    <row r="113" spans="1:10" x14ac:dyDescent="0.25">
      <c r="A113" s="246"/>
      <c r="B113" s="246"/>
      <c r="C113" s="246"/>
      <c r="D113" s="246"/>
      <c r="E113" s="246"/>
      <c r="F113" s="246"/>
      <c r="G113" s="246"/>
      <c r="J113" s="49">
        <f>SUM(J104:J112)</f>
        <v>0</v>
      </c>
    </row>
    <row r="114" spans="1:10" x14ac:dyDescent="0.25">
      <c r="A114" s="246"/>
      <c r="B114" s="246"/>
      <c r="C114" s="246"/>
      <c r="D114" s="246"/>
      <c r="E114" s="246"/>
      <c r="F114" s="246"/>
      <c r="G114" s="246"/>
    </row>
  </sheetData>
  <mergeCells count="21">
    <mergeCell ref="D87:F87"/>
    <mergeCell ref="D24:E24"/>
    <mergeCell ref="B2:F2"/>
    <mergeCell ref="D8:F8"/>
    <mergeCell ref="D9:F9"/>
    <mergeCell ref="H11:L11"/>
    <mergeCell ref="D23:E23"/>
    <mergeCell ref="D81:F81"/>
    <mergeCell ref="D29:F29"/>
    <mergeCell ref="D31:E31"/>
    <mergeCell ref="C36:F36"/>
    <mergeCell ref="C48:F48"/>
    <mergeCell ref="D49:F49"/>
    <mergeCell ref="D50:F50"/>
    <mergeCell ref="C61:F61"/>
    <mergeCell ref="D62:F62"/>
    <mergeCell ref="D63:F63"/>
    <mergeCell ref="C79:F79"/>
    <mergeCell ref="D80:F80"/>
    <mergeCell ref="E26:F26"/>
    <mergeCell ref="E27:F27"/>
  </mergeCells>
  <dataValidations count="7">
    <dataValidation allowBlank="1" showInputMessage="1" showErrorMessage="1" sqref="D48:E48"/>
    <dataValidation type="list" allowBlank="1" showInputMessage="1" showErrorMessage="1" sqref="D49:F49">
      <formula1>pinigai</formula1>
    </dataValidation>
    <dataValidation type="list" allowBlank="1" showInputMessage="1" showErrorMessage="1" sqref="D89">
      <formula1>"Grąžinti pasiūlymą tobulinti (patikslinti), Galima pradėti Plano keitimo procedūrą"</formula1>
    </dataValidation>
    <dataValidation type="list" allowBlank="1" showInputMessage="1" showErrorMessage="1" sqref="D62:F62">
      <formula1>terminai</formula1>
    </dataValidation>
    <dataValidation type="list" allowBlank="1" showInputMessage="1" showErrorMessage="1" sqref="D80:F80 K84:K85">
      <formula1>rodikliai</formula1>
    </dataValidation>
    <dataValidation type="list" allowBlank="1" showInputMessage="1" showErrorMessage="1" sqref="D26 D93:D97">
      <formula1>"Taip, Ne"</formula1>
    </dataValidation>
    <dataValidation type="list" allowBlank="1" showInputMessage="1" showErrorMessage="1" sqref="D86">
      <formula1>"Taip, Ne, Siūloma nustatyti (keisti) uždavinį"</formula1>
    </dataValidation>
  </dataValidations>
  <pageMargins left="0.7" right="0.7" top="0.75" bottom="0.75" header="0.3" footer="0.3"/>
  <pageSetup paperSize="9" orientation="portrait" horizontalDpi="0" verticalDpi="0"/>
  <extLst>
    <ext xmlns:x14="http://schemas.microsoft.com/office/spreadsheetml/2009/9/main" uri="{CCE6A557-97BC-4b89-ADB6-D9C93CAAB3DF}">
      <x14:dataValidations xmlns:xm="http://schemas.microsoft.com/office/excel/2006/main" count="3">
        <x14:dataValidation type="list" allowBlank="1" showInputMessage="1" showErrorMessage="1">
          <x14:formula1>
            <xm:f>sąrašai!$C$124:$C$129</xm:f>
          </x14:formula1>
          <xm:sqref>G49</xm:sqref>
        </x14:dataValidation>
        <x14:dataValidation type="list" allowBlank="1" showInputMessage="1" showErrorMessage="1">
          <x14:formula1>
            <xm:f>sąrašai!$E$135:$E$137</xm:f>
          </x14:formula1>
          <xm:sqref>D31</xm:sqref>
        </x14:dataValidation>
        <x14:dataValidation type="list" allowBlank="1" showInputMessage="1" showErrorMessage="1">
          <x14:formula1>
            <xm:f>'[1]kodavimo sarasai'!#REF!</xm:f>
          </x14:formula1>
          <xm:sqref>A110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02"/>
  <sheetViews>
    <sheetView topLeftCell="A19" zoomScaleSheetLayoutView="100" workbookViewId="0">
      <selection activeCell="B25" sqref="B25"/>
    </sheetView>
  </sheetViews>
  <sheetFormatPr defaultColWidth="9.140625" defaultRowHeight="15" x14ac:dyDescent="0.25"/>
  <cols>
    <col min="2" max="2" width="42.42578125" customWidth="1"/>
    <col min="3" max="3" width="18" customWidth="1"/>
    <col min="4" max="4" width="14.5703125" customWidth="1"/>
    <col min="13" max="13" width="11.7109375" bestFit="1" customWidth="1"/>
  </cols>
  <sheetData>
    <row r="2" spans="1:11" x14ac:dyDescent="0.25">
      <c r="A2" s="37" t="s">
        <v>11</v>
      </c>
    </row>
    <row r="3" spans="1:11" x14ac:dyDescent="0.25">
      <c r="A3">
        <v>1</v>
      </c>
      <c r="B3" t="s">
        <v>177</v>
      </c>
      <c r="C3" s="38" t="b">
        <f>IF('1_punktas'!K30,TRUE,IF(AND('1_punktas'!L32,'1_punktas'!M32),TRUE,FALSE))</f>
        <v>1</v>
      </c>
      <c r="D3" t="str">
        <f t="shared" ref="D3:D6" si="0">IF(C3=FALSE,A3,"")</f>
        <v/>
      </c>
      <c r="J3">
        <v>1</v>
      </c>
      <c r="K3" t="str">
        <f t="shared" ref="K3:K6" si="1">IF(C3=FALSE,J3,"")</f>
        <v/>
      </c>
    </row>
    <row r="4" spans="1:11" x14ac:dyDescent="0.25">
      <c r="A4">
        <v>2</v>
      </c>
      <c r="B4" t="str">
        <f>"Siūlote keisti esamą projektą, "&amp;ROW('1_punktas'!D17)&amp;" eilutėje nurodykite unikalų projekto numerį"</f>
        <v>Siūlote keisti esamą projektą, 17 eilutėje nurodykite unikalų projekto numerį</v>
      </c>
      <c r="C4" s="39" t="b">
        <f>NOT(AND('1_punktas'!K32,'1_punktas'!H17&lt;&gt;19))</f>
        <v>1</v>
      </c>
      <c r="D4" t="str">
        <f t="shared" si="0"/>
        <v/>
      </c>
      <c r="J4">
        <v>2</v>
      </c>
    </row>
    <row r="5" spans="1:11" x14ac:dyDescent="0.25">
      <c r="A5">
        <v>3</v>
      </c>
      <c r="B5" t="s">
        <v>178</v>
      </c>
      <c r="C5" t="b">
        <f>IF(LEN('1_punktas'!D34)&gt;5,TRUE,FALSE)</f>
        <v>1</v>
      </c>
      <c r="D5" t="str">
        <f t="shared" si="0"/>
        <v/>
      </c>
      <c r="I5">
        <v>2</v>
      </c>
      <c r="J5">
        <v>3</v>
      </c>
      <c r="K5" t="str">
        <f t="shared" si="1"/>
        <v/>
      </c>
    </row>
    <row r="6" spans="1:11" x14ac:dyDescent="0.25">
      <c r="A6">
        <v>4</v>
      </c>
      <c r="B6" t="str">
        <f>ROW('1_punktas'!C32)&amp;" eilutė nepildoma (pašalinkite perteklinę informaciją)"</f>
        <v>32 eilutė nepildoma (pašalinkite perteklinę informaciją)</v>
      </c>
      <c r="C6" t="b">
        <f>IF('1_punktas'!K31,TRUE,IF(OR('1_punktas'!L32:M32),FALSE,TRUE))</f>
        <v>0</v>
      </c>
      <c r="D6">
        <f t="shared" si="0"/>
        <v>4</v>
      </c>
      <c r="J6">
        <v>4</v>
      </c>
      <c r="K6">
        <f t="shared" si="1"/>
        <v>4</v>
      </c>
    </row>
    <row r="7" spans="1:11" x14ac:dyDescent="0.25">
      <c r="A7">
        <v>5</v>
      </c>
      <c r="B7" t="s">
        <v>179</v>
      </c>
      <c r="C7" t="b">
        <f>AND(C3:C6)</f>
        <v>0</v>
      </c>
      <c r="D7" t="str">
        <f>IF(C7=TRUE,A7,"")</f>
        <v/>
      </c>
      <c r="J7">
        <v>5</v>
      </c>
    </row>
    <row r="8" spans="1:11" x14ac:dyDescent="0.25">
      <c r="J8">
        <v>6</v>
      </c>
    </row>
    <row r="9" spans="1:11" x14ac:dyDescent="0.25">
      <c r="J9">
        <v>7</v>
      </c>
    </row>
    <row r="10" spans="1:11" x14ac:dyDescent="0.25">
      <c r="J10">
        <v>8</v>
      </c>
    </row>
    <row r="11" spans="1:11" x14ac:dyDescent="0.25">
      <c r="J11">
        <v>9</v>
      </c>
    </row>
    <row r="12" spans="1:11" x14ac:dyDescent="0.25">
      <c r="A12" t="s">
        <v>22</v>
      </c>
      <c r="J12">
        <v>10</v>
      </c>
    </row>
    <row r="13" spans="1:11" ht="27" customHeight="1" x14ac:dyDescent="0.25">
      <c r="A13">
        <v>1</v>
      </c>
      <c r="B13" t="s">
        <v>180</v>
      </c>
      <c r="C13" s="40" t="b">
        <f>IF('1_punktas'!C42="Nepildoma",TRUE,'1_punktas'!K49)</f>
        <v>1</v>
      </c>
      <c r="D13" t="str">
        <f>IF(C13=FALSE,A13,"")</f>
        <v/>
      </c>
      <c r="E13" t="s">
        <v>181</v>
      </c>
      <c r="F13" s="41">
        <f>LEN('1_punktas'!D46)</f>
        <v>6</v>
      </c>
      <c r="G13" s="41">
        <f>LEN('1_punktas'!E46)</f>
        <v>171</v>
      </c>
      <c r="H13">
        <f>COUNTIF('1_punktas'!J42:J44,TRUE)</f>
        <v>2</v>
      </c>
      <c r="J13">
        <v>11</v>
      </c>
      <c r="K13" t="str">
        <f t="shared" ref="K13:K16" si="2">IF(C13=FALSE,J13,"")</f>
        <v/>
      </c>
    </row>
    <row r="14" spans="1:11" x14ac:dyDescent="0.25">
      <c r="A14">
        <v>2</v>
      </c>
      <c r="B14" t="s">
        <v>182</v>
      </c>
      <c r="C14" s="40" t="b">
        <f>IF('1_punktas'!C42="Nepildoma",TRUE,'1_punktas'!Q46)</f>
        <v>1</v>
      </c>
      <c r="D14" t="str">
        <f>IF(C14=FALSE,A14,"")</f>
        <v/>
      </c>
      <c r="E14">
        <f>SUM(F13:H16)</f>
        <v>217</v>
      </c>
      <c r="F14" s="41">
        <f>LEN('1_punktas'!D47)</f>
        <v>0</v>
      </c>
      <c r="G14" s="41">
        <f>LEN('1_punktas'!E47)</f>
        <v>0</v>
      </c>
      <c r="J14">
        <v>12</v>
      </c>
      <c r="K14" t="str">
        <f t="shared" si="2"/>
        <v/>
      </c>
    </row>
    <row r="15" spans="1:11" x14ac:dyDescent="0.25">
      <c r="A15">
        <v>3</v>
      </c>
      <c r="B15" t="s">
        <v>183</v>
      </c>
      <c r="C15" s="40" t="b">
        <f>IF('1_punktas'!C42="Nepildoma",TRUE,'1_punktas'!N49)</f>
        <v>1</v>
      </c>
      <c r="D15" t="str">
        <f t="shared" ref="D15:D16" si="3">IF(C15=FALSE,A15,"")</f>
        <v/>
      </c>
      <c r="F15" s="41">
        <f>LEN('1_punktas'!D48)</f>
        <v>8</v>
      </c>
      <c r="G15" s="41">
        <f>LEN('1_punktas'!E48)</f>
        <v>30</v>
      </c>
      <c r="J15">
        <v>13</v>
      </c>
      <c r="K15" t="str">
        <f t="shared" si="2"/>
        <v/>
      </c>
    </row>
    <row r="16" spans="1:11" x14ac:dyDescent="0.25">
      <c r="A16">
        <v>4</v>
      </c>
      <c r="B16" t="str">
        <f>A12&amp;" skyrius nepildomas (pašalinkite perteklinę informaciją ir žymėjimus)"</f>
        <v>1.3 skyrius nepildomas (pašalinkite perteklinę informaciją ir žymėjimus)</v>
      </c>
      <c r="C16" s="40" t="b">
        <f>NOT(AND('1_punktas'!C42="Nepildoma",E14&gt;0))</f>
        <v>1</v>
      </c>
      <c r="D16" t="str">
        <f t="shared" si="3"/>
        <v/>
      </c>
      <c r="F16" s="41">
        <f>LEN('1_punktas'!D49)</f>
        <v>0</v>
      </c>
      <c r="G16" s="41">
        <f>LEN('1_punktas'!E49)</f>
        <v>0</v>
      </c>
      <c r="J16">
        <v>14</v>
      </c>
      <c r="K16" t="str">
        <f t="shared" si="2"/>
        <v/>
      </c>
    </row>
    <row r="17" spans="1:11" x14ac:dyDescent="0.25">
      <c r="A17">
        <v>5</v>
      </c>
      <c r="B17" t="s">
        <v>179</v>
      </c>
      <c r="C17" t="b">
        <f>AND(C13:C15)</f>
        <v>1</v>
      </c>
      <c r="D17">
        <f>IF(C17=TRUE,A17,"")</f>
        <v>5</v>
      </c>
      <c r="J17">
        <v>15</v>
      </c>
    </row>
    <row r="18" spans="1:11" x14ac:dyDescent="0.25">
      <c r="J18">
        <v>16</v>
      </c>
    </row>
    <row r="19" spans="1:11" x14ac:dyDescent="0.25">
      <c r="A19" t="s">
        <v>25</v>
      </c>
      <c r="J19">
        <v>17</v>
      </c>
    </row>
    <row r="20" spans="1:11" x14ac:dyDescent="0.25">
      <c r="A20">
        <v>1</v>
      </c>
      <c r="B20" t="s">
        <v>184</v>
      </c>
      <c r="C20" t="b">
        <f>IF('1_punktas'!C42="Nepildoma",TRUE,AND('1_punktas'!H58:H70))</f>
        <v>0</v>
      </c>
      <c r="D20">
        <f>IF(C20=FALSE,A20,"")</f>
        <v>1</v>
      </c>
      <c r="E20" t="s">
        <v>181</v>
      </c>
      <c r="F20">
        <f>LEN('1_punktas'!D58)</f>
        <v>65</v>
      </c>
      <c r="J20">
        <v>18</v>
      </c>
      <c r="K20">
        <f t="shared" ref="K20:K26" si="4">IF(C20=FALSE,J20,"")</f>
        <v>18</v>
      </c>
    </row>
    <row r="21" spans="1:11" x14ac:dyDescent="0.25">
      <c r="A21">
        <v>2</v>
      </c>
      <c r="B21" t="s">
        <v>185</v>
      </c>
      <c r="C21" t="b">
        <f>IF('1_punktas'!I65&gt;0,FALSE,TRUE)</f>
        <v>1</v>
      </c>
      <c r="D21" t="str">
        <f>IF(C21=FALSE,A21,"")</f>
        <v/>
      </c>
      <c r="J21">
        <v>19</v>
      </c>
    </row>
    <row r="22" spans="1:11" x14ac:dyDescent="0.25">
      <c r="A22">
        <v>3</v>
      </c>
      <c r="B22" t="s">
        <v>186</v>
      </c>
      <c r="C22" t="b">
        <f>IF('1_punktas'!C44="Nepildoma",TRUE,AND('1_punktas'!H60:H72))</f>
        <v>0</v>
      </c>
      <c r="D22">
        <f t="shared" ref="D22:D26" si="5">IF(C22=FALSE,A22,"")</f>
        <v>3</v>
      </c>
      <c r="J22">
        <v>20</v>
      </c>
    </row>
    <row r="23" spans="1:11" x14ac:dyDescent="0.25">
      <c r="A23">
        <v>4</v>
      </c>
      <c r="B23" t="s">
        <v>187</v>
      </c>
      <c r="C23" t="b">
        <f>IF('1_punktas'!C42="Nepildoma",TRUE,'1_punktas'!Q59)</f>
        <v>1</v>
      </c>
      <c r="D23" t="str">
        <f t="shared" si="5"/>
        <v/>
      </c>
      <c r="E23" s="42">
        <f>SUM(F20:F34)+G29</f>
        <v>683</v>
      </c>
      <c r="F23">
        <f>LEN('1_punktas'!D59)</f>
        <v>0</v>
      </c>
      <c r="J23">
        <v>21</v>
      </c>
      <c r="K23" t="str">
        <f t="shared" si="4"/>
        <v/>
      </c>
    </row>
    <row r="24" spans="1:11" x14ac:dyDescent="0.25">
      <c r="A24">
        <v>5</v>
      </c>
      <c r="B24" t="s">
        <v>188</v>
      </c>
      <c r="C24" t="b">
        <f>IF('1_punktas'!C42="Nepildoma",TRUE,(IF('1_punktas'!O62,TRUE,IF('1_punktas'!R62,TRUE,IF('1_punktas'!U62,TRUE,FALSE)))))</f>
        <v>1</v>
      </c>
      <c r="D24" t="str">
        <f t="shared" si="5"/>
        <v/>
      </c>
      <c r="F24">
        <f>LEN('1_punktas'!D60)</f>
        <v>536</v>
      </c>
      <c r="J24">
        <v>22</v>
      </c>
      <c r="K24" t="str">
        <f t="shared" si="4"/>
        <v/>
      </c>
    </row>
    <row r="25" spans="1:11" x14ac:dyDescent="0.25">
      <c r="A25">
        <v>6</v>
      </c>
      <c r="B25" t="s">
        <v>189</v>
      </c>
      <c r="C25" t="b">
        <f>IF(NOT('1_punktas'!M67),TRUE,IF('1_punktas'!L67,TRUE,FALSE))</f>
        <v>1</v>
      </c>
      <c r="D25" t="str">
        <f t="shared" si="5"/>
        <v/>
      </c>
      <c r="F25">
        <f>LEN('1_punktas'!D61)</f>
        <v>0</v>
      </c>
      <c r="J25">
        <v>23</v>
      </c>
      <c r="K25" t="str">
        <f t="shared" si="4"/>
        <v/>
      </c>
    </row>
    <row r="26" spans="1:11" x14ac:dyDescent="0.25">
      <c r="A26">
        <v>7</v>
      </c>
      <c r="B26" t="str">
        <f>A19&amp;" skyrius nepildomas (pašalinkite perteklinę informaciją)"</f>
        <v>1.4 skyrius nepildomas (pašalinkite perteklinę informaciją)</v>
      </c>
      <c r="C26" t="b">
        <f>NOT(AND('1_punktas'!C42="Nepildoma",E23&gt;0))</f>
        <v>1</v>
      </c>
      <c r="D26" t="str">
        <f t="shared" si="5"/>
        <v/>
      </c>
      <c r="F26">
        <f>LEN('1_punktas'!D62)</f>
        <v>0</v>
      </c>
      <c r="J26">
        <v>24</v>
      </c>
      <c r="K26" t="str">
        <f t="shared" si="4"/>
        <v/>
      </c>
    </row>
    <row r="27" spans="1:11" x14ac:dyDescent="0.25">
      <c r="A27">
        <v>8</v>
      </c>
      <c r="B27" t="s">
        <v>179</v>
      </c>
      <c r="C27" t="b">
        <f>AND(C20:C26)</f>
        <v>0</v>
      </c>
      <c r="D27" t="str">
        <f>IF(C27=TRUE,A27,"")</f>
        <v/>
      </c>
      <c r="F27">
        <f>LEN('1_punktas'!D63)</f>
        <v>1</v>
      </c>
      <c r="J27">
        <v>25</v>
      </c>
    </row>
    <row r="28" spans="1:11" x14ac:dyDescent="0.25">
      <c r="F28">
        <f>LEN('1_punktas'!D64)</f>
        <v>61</v>
      </c>
      <c r="J28">
        <v>26</v>
      </c>
    </row>
    <row r="29" spans="1:11" x14ac:dyDescent="0.25">
      <c r="F29">
        <f>LEN('1_punktas'!D65)</f>
        <v>0</v>
      </c>
      <c r="G29">
        <f>LEN('1_punktas'!E65)</f>
        <v>0</v>
      </c>
      <c r="J29">
        <v>27</v>
      </c>
    </row>
    <row r="30" spans="1:11" x14ac:dyDescent="0.25">
      <c r="F30">
        <f>LEN('1_punktas'!D66)</f>
        <v>16</v>
      </c>
      <c r="J30">
        <v>28</v>
      </c>
    </row>
    <row r="31" spans="1:11" x14ac:dyDescent="0.25">
      <c r="F31">
        <f>LEN('1_punktas'!D67)</f>
        <v>0</v>
      </c>
      <c r="J31">
        <v>29</v>
      </c>
    </row>
    <row r="32" spans="1:11" x14ac:dyDescent="0.25">
      <c r="F32">
        <f>LEN('1_punktas'!D68)</f>
        <v>1</v>
      </c>
      <c r="J32">
        <v>30</v>
      </c>
    </row>
    <row r="33" spans="1:11" x14ac:dyDescent="0.25">
      <c r="F33">
        <f>LEN('1_punktas'!D69)</f>
        <v>3</v>
      </c>
      <c r="J33">
        <v>31</v>
      </c>
    </row>
    <row r="34" spans="1:11" x14ac:dyDescent="0.25">
      <c r="F34">
        <f>LEN('1_punktas'!D70)</f>
        <v>0</v>
      </c>
      <c r="J34">
        <v>32</v>
      </c>
    </row>
    <row r="35" spans="1:11" x14ac:dyDescent="0.25">
      <c r="A35" t="s">
        <v>41</v>
      </c>
      <c r="J35">
        <v>33</v>
      </c>
    </row>
    <row r="36" spans="1:11" x14ac:dyDescent="0.25">
      <c r="A36">
        <v>1</v>
      </c>
      <c r="B36" t="s">
        <v>190</v>
      </c>
      <c r="C36" t="b">
        <f>IF('1_punktas'!C42="Nepildoma",TRUE,'1_punktas'!M79)</f>
        <v>1</v>
      </c>
      <c r="D36" t="str">
        <f t="shared" ref="D36:D40" si="6">IF(C36=FALSE,A36,"")</f>
        <v/>
      </c>
      <c r="E36" t="s">
        <v>181</v>
      </c>
      <c r="F36" s="42">
        <f>SUM(G36:G46)+H40</f>
        <v>9</v>
      </c>
      <c r="J36">
        <v>34</v>
      </c>
      <c r="K36" t="str">
        <f t="shared" ref="K36:K40" si="7">IF(C36=FALSE,J36,"")</f>
        <v/>
      </c>
    </row>
    <row r="37" spans="1:11" x14ac:dyDescent="0.25">
      <c r="A37">
        <v>2</v>
      </c>
      <c r="B37" t="s">
        <v>191</v>
      </c>
      <c r="C37" t="b">
        <f>IF('1_punktas'!C42="Nepildoma",TRUE,'1_punktas'!M94)</f>
        <v>1</v>
      </c>
      <c r="D37" t="str">
        <f t="shared" si="6"/>
        <v/>
      </c>
      <c r="G37">
        <f>LEN('1_punktas'!D81)</f>
        <v>0</v>
      </c>
      <c r="J37">
        <v>35</v>
      </c>
      <c r="K37" t="str">
        <f t="shared" si="7"/>
        <v/>
      </c>
    </row>
    <row r="38" spans="1:11" x14ac:dyDescent="0.25">
      <c r="A38">
        <v>3</v>
      </c>
      <c r="B38" t="s">
        <v>192</v>
      </c>
      <c r="C38" t="b">
        <f>IF('1_punktas'!C42="Nepildoma",TRUE,'1_punktas'!K97)</f>
        <v>1</v>
      </c>
      <c r="D38" t="str">
        <f t="shared" si="6"/>
        <v/>
      </c>
      <c r="G38">
        <f>LEN('1_punktas'!D82)</f>
        <v>0</v>
      </c>
      <c r="J38">
        <v>36</v>
      </c>
      <c r="K38" t="str">
        <f t="shared" si="7"/>
        <v/>
      </c>
    </row>
    <row r="39" spans="1:11" x14ac:dyDescent="0.25">
      <c r="A39">
        <v>4</v>
      </c>
      <c r="B39" t="s">
        <v>193</v>
      </c>
      <c r="C39" t="b">
        <f>IF('1_punktas'!C42="Nepildoma",TRUE,(IF('1_punktas'!$D$67="Nenumatoma naudoti ES lėšų",IF('1_punktas'!N89,TRUE,FALSE),IF('1_punktas'!N91,TRUE,FALSE))))</f>
        <v>0</v>
      </c>
      <c r="D39">
        <f t="shared" si="6"/>
        <v>4</v>
      </c>
      <c r="G39">
        <f>LEN('1_punktas'!D83)</f>
        <v>8</v>
      </c>
      <c r="J39">
        <v>37</v>
      </c>
      <c r="K39">
        <f t="shared" si="7"/>
        <v>37</v>
      </c>
    </row>
    <row r="40" spans="1:11" x14ac:dyDescent="0.25">
      <c r="A40">
        <v>5</v>
      </c>
      <c r="B40" t="str">
        <f>A35&amp;" skyrius nepildomas (pašalinkite perteklinę informaciją)"</f>
        <v>1.5 skyrius nepildomas (pašalinkite perteklinę informaciją)</v>
      </c>
      <c r="C40" t="b">
        <f>NOT(AND('1_punktas'!C42="Nepildoma",F36&gt;0))</f>
        <v>1</v>
      </c>
      <c r="D40" t="str">
        <f t="shared" si="6"/>
        <v/>
      </c>
      <c r="G40">
        <f>LEN('1_punktas'!D84)</f>
        <v>0</v>
      </c>
      <c r="H40">
        <f>LEN('1_punktas'!E84)</f>
        <v>0</v>
      </c>
      <c r="J40">
        <v>38</v>
      </c>
      <c r="K40" t="str">
        <f t="shared" si="7"/>
        <v/>
      </c>
    </row>
    <row r="41" spans="1:11" x14ac:dyDescent="0.25">
      <c r="A41">
        <v>6</v>
      </c>
      <c r="B41" t="s">
        <v>179</v>
      </c>
      <c r="C41" t="b">
        <f>AND(C36:C40)</f>
        <v>0</v>
      </c>
      <c r="D41" t="str">
        <f>IF(C41=TRUE,A41,"")</f>
        <v/>
      </c>
      <c r="G41">
        <f>LEN('1_punktas'!D85)</f>
        <v>0</v>
      </c>
      <c r="J41">
        <v>39</v>
      </c>
    </row>
    <row r="42" spans="1:11" x14ac:dyDescent="0.25">
      <c r="G42">
        <f>LEN('1_punktas'!D87)</f>
        <v>0</v>
      </c>
      <c r="J42">
        <v>40</v>
      </c>
    </row>
    <row r="43" spans="1:11" x14ac:dyDescent="0.25">
      <c r="G43">
        <f>LEN('1_punktas'!D88)</f>
        <v>1</v>
      </c>
      <c r="J43">
        <v>41</v>
      </c>
    </row>
    <row r="44" spans="1:11" x14ac:dyDescent="0.25">
      <c r="G44">
        <f>LEN('1_punktas'!D89)</f>
        <v>0</v>
      </c>
      <c r="J44">
        <v>42</v>
      </c>
    </row>
    <row r="45" spans="1:11" x14ac:dyDescent="0.25">
      <c r="G45">
        <f>LEN('1_punktas'!D90)</f>
        <v>0</v>
      </c>
      <c r="J45">
        <v>43</v>
      </c>
    </row>
    <row r="46" spans="1:11" x14ac:dyDescent="0.25">
      <c r="G46">
        <f>LEN('1_punktas'!D91)</f>
        <v>0</v>
      </c>
      <c r="J46">
        <v>44</v>
      </c>
    </row>
    <row r="47" spans="1:11" x14ac:dyDescent="0.25">
      <c r="G47">
        <f>LEN('1_punktas'!D92)</f>
        <v>0</v>
      </c>
      <c r="J47">
        <v>45</v>
      </c>
    </row>
    <row r="48" spans="1:11" x14ac:dyDescent="0.25">
      <c r="A48" t="s">
        <v>51</v>
      </c>
      <c r="F48" s="43"/>
      <c r="J48">
        <v>46</v>
      </c>
    </row>
    <row r="49" spans="1:11" x14ac:dyDescent="0.25">
      <c r="A49">
        <v>1</v>
      </c>
      <c r="B49" t="s">
        <v>194</v>
      </c>
      <c r="C49" t="b">
        <f>IF('1_punktas'!C42="Nepildoma",TRUE,IF(NOT(ISBLANK('1_punktas'!D102)),TRUE,FALSE))</f>
        <v>1</v>
      </c>
      <c r="D49" t="str">
        <f t="shared" ref="D49:D51" si="8">IF(C49=FALSE,A49,"")</f>
        <v/>
      </c>
      <c r="E49" t="s">
        <v>181</v>
      </c>
      <c r="F49" s="42">
        <f>SUM(G49:G55)</f>
        <v>2</v>
      </c>
      <c r="G49">
        <f>LEN('1_punktas'!D101)</f>
        <v>0</v>
      </c>
      <c r="J49">
        <v>47</v>
      </c>
      <c r="K49" t="str">
        <f>IF(C49=FALSE,J49,"")</f>
        <v/>
      </c>
    </row>
    <row r="50" spans="1:11" x14ac:dyDescent="0.25">
      <c r="A50">
        <v>2</v>
      </c>
      <c r="B50" s="44" t="s">
        <v>924</v>
      </c>
      <c r="C50" s="45" t="b">
        <f>NOT(AND(LEN('1_punktas'!D17=19),F50&gt;0))</f>
        <v>1</v>
      </c>
      <c r="D50" t="str">
        <f t="shared" si="8"/>
        <v/>
      </c>
      <c r="E50" s="45"/>
      <c r="F50" s="46">
        <f>LEN('1_punktas'!E102)+LEN('1_punktas'!E104)+LEN('1_punktas'!E106)</f>
        <v>0</v>
      </c>
      <c r="G50" s="45"/>
      <c r="H50" s="45"/>
      <c r="I50" s="45"/>
      <c r="J50" s="45"/>
    </row>
    <row r="51" spans="1:11" x14ac:dyDescent="0.25">
      <c r="A51">
        <v>3</v>
      </c>
      <c r="B51" t="str">
        <f>A48&amp;" skyrius nepildomas (pašalinkite perteklinę informaciją)"</f>
        <v>1.6 skyrius nepildomas (pašalinkite perteklinę informaciją)</v>
      </c>
      <c r="C51" t="b">
        <f>NOT(AND('1_punktas'!C42="Nepildoma",F49&gt;0))</f>
        <v>1</v>
      </c>
      <c r="D51" t="str">
        <f t="shared" si="8"/>
        <v/>
      </c>
      <c r="G51">
        <f>LEN('1_punktas'!D102)</f>
        <v>2</v>
      </c>
      <c r="J51">
        <v>48</v>
      </c>
      <c r="K51" t="str">
        <f>IF(C51=FALSE,J51,"")</f>
        <v/>
      </c>
    </row>
    <row r="52" spans="1:11" x14ac:dyDescent="0.25">
      <c r="A52">
        <v>4</v>
      </c>
      <c r="B52" t="s">
        <v>179</v>
      </c>
      <c r="C52" t="b">
        <f>AND(C46:C51)</f>
        <v>1</v>
      </c>
      <c r="D52">
        <f>IF(C52=TRUE,A52,"")</f>
        <v>4</v>
      </c>
      <c r="G52">
        <f>LEN('1_punktas'!D103)</f>
        <v>0</v>
      </c>
      <c r="J52">
        <v>49</v>
      </c>
    </row>
    <row r="53" spans="1:11" x14ac:dyDescent="0.25">
      <c r="G53">
        <f>LEN('1_punktas'!D104)</f>
        <v>0</v>
      </c>
      <c r="J53">
        <v>50</v>
      </c>
    </row>
    <row r="54" spans="1:11" x14ac:dyDescent="0.25">
      <c r="G54">
        <f>LEN('1_punktas'!D105)</f>
        <v>0</v>
      </c>
      <c r="J54">
        <v>51</v>
      </c>
    </row>
    <row r="55" spans="1:11" x14ac:dyDescent="0.25">
      <c r="G55">
        <f>LEN('1_punktas'!D106)</f>
        <v>0</v>
      </c>
      <c r="J55">
        <v>52</v>
      </c>
    </row>
    <row r="56" spans="1:11" x14ac:dyDescent="0.25">
      <c r="A56" t="s">
        <v>195</v>
      </c>
      <c r="J56">
        <v>53</v>
      </c>
    </row>
    <row r="57" spans="1:11" x14ac:dyDescent="0.25">
      <c r="J57">
        <v>54</v>
      </c>
    </row>
    <row r="58" spans="1:11" x14ac:dyDescent="0.25">
      <c r="A58">
        <v>1</v>
      </c>
      <c r="B58" t="s">
        <v>196</v>
      </c>
      <c r="C58" t="b">
        <f>IF('1_punktas'!C42="Nepildoma",TRUE,'1_punktas'!O134)</f>
        <v>0</v>
      </c>
      <c r="D58">
        <f>IF(C58=FALSE,A58,"")</f>
        <v>1</v>
      </c>
      <c r="F58" s="47">
        <f>G58+H58</f>
        <v>24</v>
      </c>
      <c r="G58">
        <f>COUNTBLANK('1_punktas'!D115:D132)</f>
        <v>6</v>
      </c>
      <c r="H58">
        <f>COUNTBLANK('1_punktas'!E115:E132)</f>
        <v>18</v>
      </c>
      <c r="J58">
        <v>55</v>
      </c>
      <c r="K58">
        <f t="shared" ref="K58:K59" si="9">IF(C58=FALSE,J58,"")</f>
        <v>55</v>
      </c>
    </row>
    <row r="59" spans="1:11" x14ac:dyDescent="0.25">
      <c r="A59">
        <v>2</v>
      </c>
      <c r="B59" t="str">
        <f>A56&amp;" skyrius nepildomas (pašalinkite perteklinę informaciją)"</f>
        <v>1.7. skyrius nepildomas (pašalinkite perteklinę informaciją)</v>
      </c>
      <c r="C59" t="b">
        <f>NOT(AND('1_punktas'!C42="Nepildoma",F58&lt;32))</f>
        <v>1</v>
      </c>
      <c r="D59" t="str">
        <f>IF(C59=FALSE,A59,"")</f>
        <v/>
      </c>
      <c r="J59">
        <v>56</v>
      </c>
      <c r="K59" t="str">
        <f t="shared" si="9"/>
        <v/>
      </c>
    </row>
    <row r="60" spans="1:11" x14ac:dyDescent="0.25">
      <c r="A60">
        <v>3</v>
      </c>
      <c r="B60" t="s">
        <v>179</v>
      </c>
      <c r="C60" t="b">
        <f>AND(C56:C59)</f>
        <v>0</v>
      </c>
      <c r="D60" t="str">
        <f>IF(C60=TRUE,A60,"")</f>
        <v/>
      </c>
      <c r="K60">
        <f>COUNTIF(K3:K59,"&gt;0")</f>
        <v>4</v>
      </c>
    </row>
    <row r="63" spans="1:11" x14ac:dyDescent="0.25">
      <c r="A63">
        <v>3</v>
      </c>
    </row>
    <row r="65" spans="1:9" x14ac:dyDescent="0.25">
      <c r="A65">
        <v>1</v>
      </c>
      <c r="B65" t="s">
        <v>197</v>
      </c>
      <c r="C65" t="b">
        <f>NOT(AND('1_punktas'!K30,F65&gt;0))</f>
        <v>0</v>
      </c>
      <c r="D65">
        <f t="shared" ref="D65:D68" si="10">IF(C65=FALSE,A65,"")</f>
        <v>1</v>
      </c>
      <c r="F65" s="48">
        <f>'RPD ivedimas'!J60</f>
        <v>7</v>
      </c>
    </row>
    <row r="66" spans="1:9" x14ac:dyDescent="0.25">
      <c r="A66">
        <v>2</v>
      </c>
      <c r="B66" t="s">
        <v>198</v>
      </c>
      <c r="C66" t="b">
        <f>IF('RPD ivedimas'!J58=0,TRUE,FALSE)</f>
        <v>1</v>
      </c>
      <c r="D66" t="str">
        <f t="shared" si="10"/>
        <v/>
      </c>
    </row>
    <row r="67" spans="1:9" x14ac:dyDescent="0.25">
      <c r="A67">
        <v>3</v>
      </c>
      <c r="B67" t="s">
        <v>199</v>
      </c>
      <c r="C67" t="b">
        <f>NOT(AND('1_punktas'!K32,'RPD tikrinimas'!L16))</f>
        <v>1</v>
      </c>
      <c r="D67" t="str">
        <f t="shared" si="10"/>
        <v/>
      </c>
    </row>
    <row r="68" spans="1:9" x14ac:dyDescent="0.25">
      <c r="A68">
        <v>4</v>
      </c>
      <c r="B68" t="s">
        <v>200</v>
      </c>
      <c r="C68" t="b">
        <f>NOT(AND('1_punktas'!K32,'RPD tikrinimas'!L18))</f>
        <v>1</v>
      </c>
      <c r="D68" t="str">
        <f t="shared" si="10"/>
        <v/>
      </c>
    </row>
    <row r="69" spans="1:9" x14ac:dyDescent="0.25">
      <c r="A69">
        <v>5</v>
      </c>
      <c r="B69" t="s">
        <v>179</v>
      </c>
      <c r="C69" t="b">
        <f>AND(C64:C68)</f>
        <v>0</v>
      </c>
      <c r="D69" t="str">
        <f>IF(C69=TRUE,A69,"")</f>
        <v/>
      </c>
    </row>
    <row r="70" spans="1:9" x14ac:dyDescent="0.25">
      <c r="B70" t="s">
        <v>201</v>
      </c>
      <c r="C70">
        <f>COUNTIF(C65:C68,FALSE)+'RPD ivedimas'!J58</f>
        <v>1</v>
      </c>
    </row>
    <row r="71" spans="1:9" x14ac:dyDescent="0.25">
      <c r="A71" t="s">
        <v>202</v>
      </c>
    </row>
    <row r="72" spans="1:9" x14ac:dyDescent="0.25">
      <c r="A72">
        <v>1</v>
      </c>
      <c r="B72" t="s">
        <v>203</v>
      </c>
      <c r="C72" t="b">
        <f>IF('RPD tikrinimas'!F23+'RPD tikrinimas'!F24&gt;0,FALSE,TRUE)</f>
        <v>0</v>
      </c>
      <c r="D72">
        <f>IF(C72=FALSE,A72,"")</f>
        <v>1</v>
      </c>
    </row>
    <row r="73" spans="1:9" x14ac:dyDescent="0.25">
      <c r="A73">
        <v>2</v>
      </c>
      <c r="C73" t="b">
        <f>AND(C72:C72)</f>
        <v>0</v>
      </c>
      <c r="D73" t="str">
        <f>IF(C73=TRUE,A73,"")</f>
        <v/>
      </c>
    </row>
    <row r="76" spans="1:9" x14ac:dyDescent="0.25">
      <c r="A76" t="s">
        <v>204</v>
      </c>
    </row>
    <row r="77" spans="1:9" x14ac:dyDescent="0.25">
      <c r="A77">
        <v>1</v>
      </c>
      <c r="B77" t="s">
        <v>205</v>
      </c>
      <c r="C77" t="b">
        <f>'ITVP pasiulymas'!P11</f>
        <v>1</v>
      </c>
      <c r="D77" t="str">
        <f t="shared" ref="D77:D79" si="11">IF(C77=FALSE,A77,"")</f>
        <v/>
      </c>
      <c r="E77" t="s">
        <v>181</v>
      </c>
      <c r="F77" s="42">
        <f>SUM(G76:I77)</f>
        <v>30</v>
      </c>
      <c r="G77">
        <f>LEN('ITVP pasiulymas'!D11)</f>
        <v>6</v>
      </c>
      <c r="H77">
        <f>LEN('ITVP pasiulymas'!E11)</f>
        <v>18</v>
      </c>
      <c r="I77">
        <f>LEN('ITVP pasiulymas'!F11)</f>
        <v>6</v>
      </c>
    </row>
    <row r="78" spans="1:9" x14ac:dyDescent="0.25">
      <c r="A78">
        <v>2</v>
      </c>
      <c r="B78" t="str">
        <f>ROW('ITVP pasiulymas'!C11)&amp;" eilutė nepildoma (pašalinkite perteklinę informaciją)"</f>
        <v>11 eilutė nepildoma (pašalinkite perteklinę informaciją)</v>
      </c>
      <c r="C78" t="b">
        <f>NOT(AND('ITVP pasiulymas'!L9,F77&gt;0))</f>
        <v>0</v>
      </c>
      <c r="D78">
        <f t="shared" si="11"/>
        <v>2</v>
      </c>
    </row>
    <row r="79" spans="1:9" x14ac:dyDescent="0.25">
      <c r="A79">
        <v>3</v>
      </c>
      <c r="B79" t="s">
        <v>206</v>
      </c>
      <c r="C79" t="b">
        <f>AND('1_punktas'!K30='ITVP pasiulymas'!L9,'1_punktas'!K32='ITVP pasiulymas'!L11,'1_punktas'!K33='ITVP pasiulymas'!L12)</f>
        <v>1</v>
      </c>
      <c r="D79" t="str">
        <f t="shared" si="11"/>
        <v/>
      </c>
    </row>
    <row r="80" spans="1:9" x14ac:dyDescent="0.25">
      <c r="A80">
        <v>4</v>
      </c>
      <c r="B80" t="s">
        <v>179</v>
      </c>
      <c r="C80" t="b">
        <f>AND(C77:C79)</f>
        <v>0</v>
      </c>
      <c r="D80" t="str">
        <f>IF(C80=TRUE,A80,"")</f>
        <v/>
      </c>
    </row>
    <row r="82" spans="1:12" x14ac:dyDescent="0.25">
      <c r="A82" t="s">
        <v>207</v>
      </c>
    </row>
    <row r="83" spans="1:12" x14ac:dyDescent="0.25">
      <c r="A83">
        <v>1</v>
      </c>
      <c r="B83" t="s">
        <v>208</v>
      </c>
      <c r="C83" t="b">
        <f>IF('ITVP pasiulymas'!C17="Nepildoma",TRUE,'ITVP pasiulymas'!L24)</f>
        <v>1</v>
      </c>
      <c r="D83" t="str">
        <f>IF(C83=FALSE,A83,"")</f>
        <v/>
      </c>
      <c r="E83" t="s">
        <v>181</v>
      </c>
      <c r="F83" s="42">
        <f>SUM(G83:H89)+I83</f>
        <v>49</v>
      </c>
      <c r="G83">
        <f>LEN('ITVP pasiulymas'!D21)</f>
        <v>4</v>
      </c>
      <c r="H83">
        <f>LEN('ITVP pasiulymas'!E21)</f>
        <v>17</v>
      </c>
      <c r="I83">
        <f>COUNTIF('ITVP pasiulymas'!I21:I24,TRUE)</f>
        <v>2</v>
      </c>
    </row>
    <row r="84" spans="1:12" x14ac:dyDescent="0.25">
      <c r="A84">
        <v>2</v>
      </c>
      <c r="B84" t="s">
        <v>182</v>
      </c>
      <c r="C84" t="b">
        <f>IF('ITVP pasiulymas'!C17="Nepildoma",TRUE,'ITVP pasiulymas'!R21)</f>
        <v>1</v>
      </c>
      <c r="D84" t="str">
        <f t="shared" ref="D84:D90" si="12">IF(C84=FALSE,A84,"")</f>
        <v/>
      </c>
      <c r="G84">
        <f>LEN('ITVP pasiulymas'!D22)</f>
        <v>0</v>
      </c>
      <c r="H84">
        <f>LEN('ITVP pasiulymas'!E22)</f>
        <v>0</v>
      </c>
    </row>
    <row r="85" spans="1:12" x14ac:dyDescent="0.25">
      <c r="A85">
        <v>3</v>
      </c>
      <c r="B85" t="s">
        <v>183</v>
      </c>
      <c r="C85" t="b">
        <f>IF('ITVP pasiulymas'!C17="Nepildoma",TRUE,'ITVP pasiulymas'!O24)</f>
        <v>1</v>
      </c>
      <c r="D85" t="str">
        <f t="shared" si="12"/>
        <v/>
      </c>
      <c r="G85">
        <f>LEN('ITVP pasiulymas'!D23)</f>
        <v>0</v>
      </c>
      <c r="H85">
        <f>LEN('ITVP pasiulymas'!E23)</f>
        <v>0</v>
      </c>
    </row>
    <row r="86" spans="1:12" x14ac:dyDescent="0.25">
      <c r="A86">
        <v>4</v>
      </c>
      <c r="B86" t="s">
        <v>209</v>
      </c>
      <c r="C86" t="b">
        <f>NOT(AND('ITVP pasiulymas'!C17="Nepildoma",F83&gt;0))</f>
        <v>1</v>
      </c>
      <c r="D86" t="str">
        <f t="shared" si="12"/>
        <v/>
      </c>
      <c r="G86">
        <f>LEN('ITVP pasiulymas'!D24)</f>
        <v>9</v>
      </c>
      <c r="H86">
        <f>LEN('ITVP pasiulymas'!E24)</f>
        <v>12</v>
      </c>
    </row>
    <row r="87" spans="1:12" x14ac:dyDescent="0.25">
      <c r="A87">
        <v>5</v>
      </c>
      <c r="B87" t="s">
        <v>210</v>
      </c>
      <c r="C87" t="b">
        <f>IF(LEN('ITVP pasiulymas'!C26)=0,TRUE,IF('ITVP pasiulymas'!D26="Ne",TRUE,IF(LEN('ITVP pasiulymas'!E26)&gt;0,TRUE,FALSE)))</f>
        <v>1</v>
      </c>
      <c r="D87" t="str">
        <f t="shared" si="12"/>
        <v/>
      </c>
    </row>
    <row r="88" spans="1:12" x14ac:dyDescent="0.25">
      <c r="A88">
        <v>6</v>
      </c>
      <c r="B88" t="s">
        <v>211</v>
      </c>
      <c r="C88" t="b">
        <f>IF(LEN('ITVP pasiulymas'!C27)=0,TRUE,IF('ITVP pasiulymas'!D27="Ne",TRUE,IF(LEN('ITVP pasiulymas'!E27)&gt;0,TRUE,FALSE)))</f>
        <v>1</v>
      </c>
      <c r="D88" t="str">
        <f t="shared" si="12"/>
        <v/>
      </c>
      <c r="G88">
        <f>LEN('ITVP pasiulymas'!D26)</f>
        <v>2</v>
      </c>
      <c r="H88">
        <f>LEN('ITVP pasiulymas'!E26)</f>
        <v>3</v>
      </c>
      <c r="K88" t="b">
        <f>NOT(AND(LEN('ITVP pasiulymas'!C26)=0,G88&gt;0))</f>
        <v>1</v>
      </c>
      <c r="L88" t="b">
        <f>NOT(AND('ITVP pasiulymas'!D26="Ne",H88&gt;0))</f>
        <v>0</v>
      </c>
    </row>
    <row r="89" spans="1:12" x14ac:dyDescent="0.25">
      <c r="A89">
        <v>7</v>
      </c>
      <c r="B89" t="str">
        <f>ROW('ITVP pasiulymas'!C26)&amp;" eilutė nepildoma (pašalinkite perteklinę informaciją)"</f>
        <v>26 eilutė nepildoma (pašalinkite perteklinę informaciją)</v>
      </c>
      <c r="C89" t="b">
        <f>OR(K88:L88)</f>
        <v>1</v>
      </c>
      <c r="D89" t="str">
        <f t="shared" si="12"/>
        <v/>
      </c>
      <c r="G89">
        <f>LEN('ITVP pasiulymas'!D27)</f>
        <v>0</v>
      </c>
      <c r="H89">
        <f>LEN('ITVP pasiulymas'!E27)</f>
        <v>0</v>
      </c>
      <c r="K89" t="b">
        <f>NOT(AND(LEN('ITVP pasiulymas'!C27)=0,G89&gt;0))</f>
        <v>1</v>
      </c>
      <c r="L89" t="b">
        <f>NOT(AND('ITVP pasiulymas'!D27="Ne",H89&gt;0))</f>
        <v>1</v>
      </c>
    </row>
    <row r="90" spans="1:12" x14ac:dyDescent="0.25">
      <c r="A90">
        <v>8</v>
      </c>
      <c r="B90" t="str">
        <f>ROW('ITVP pasiulymas'!C27)&amp;" eilutė nepildoma (pašalinkite perteklinę informaciją)"</f>
        <v>27 eilutė nepildoma (pašalinkite perteklinę informaciją)</v>
      </c>
      <c r="C90" t="b">
        <f>OR(K89:L89)</f>
        <v>1</v>
      </c>
      <c r="D90" t="str">
        <f t="shared" si="12"/>
        <v/>
      </c>
    </row>
    <row r="91" spans="1:12" x14ac:dyDescent="0.25">
      <c r="A91">
        <v>9</v>
      </c>
      <c r="B91" t="s">
        <v>179</v>
      </c>
      <c r="C91" t="b">
        <f>AND(C83:C90)</f>
        <v>1</v>
      </c>
      <c r="D91">
        <f>IF(C91=TRUE,A91,"")</f>
        <v>9</v>
      </c>
    </row>
    <row r="93" spans="1:12" x14ac:dyDescent="0.25">
      <c r="A93" t="s">
        <v>212</v>
      </c>
    </row>
    <row r="94" spans="1:12" x14ac:dyDescent="0.25">
      <c r="A94">
        <v>1</v>
      </c>
      <c r="B94" t="e">
        <f>"Veiksmui numatytas BF – "&amp;ROUND('ITVP pasiulymas'!I40,4)*100&amp;" proc. Patikrinkite lėšų poreikį ir šaltinius"</f>
        <v>#VALUE!</v>
      </c>
      <c r="C94" t="b">
        <f>IF('ITVP pasiulymas'!C31="Nepildoma",TRUE,IF(ROUND('ITVP pasiulymas'!I40,2)&gt;0.15,TRUE,FALSE))</f>
        <v>1</v>
      </c>
      <c r="D94" t="str">
        <f>IF(C94=FALSE,A94,"")</f>
        <v/>
      </c>
    </row>
    <row r="95" spans="1:12" x14ac:dyDescent="0.25">
      <c r="A95">
        <v>2</v>
      </c>
      <c r="B95" t="s">
        <v>209</v>
      </c>
      <c r="C95" t="b">
        <f>NOT(AND('ITVP pasiulymas'!C31="Nepildoma",F95&gt;0))</f>
        <v>0</v>
      </c>
      <c r="D95">
        <f>IF(C95=FALSE,A95,"")</f>
        <v>2</v>
      </c>
      <c r="E95" t="s">
        <v>181</v>
      </c>
      <c r="F95" s="42">
        <f>SUM(G95:G101)</f>
        <v>2</v>
      </c>
      <c r="G95">
        <f>LEN('ITVP pasiulymas'!F34)</f>
        <v>2</v>
      </c>
    </row>
    <row r="96" spans="1:12" x14ac:dyDescent="0.25">
      <c r="A96">
        <v>3</v>
      </c>
      <c r="B96" t="s">
        <v>179</v>
      </c>
      <c r="C96" t="b">
        <f>AND(C94:C95)</f>
        <v>0</v>
      </c>
      <c r="D96" t="str">
        <f>IF(C96=TRUE,A96,"")</f>
        <v/>
      </c>
    </row>
    <row r="99" spans="7:7" x14ac:dyDescent="0.25">
      <c r="G99">
        <f>LEN('ITVP pasiulymas'!F38)</f>
        <v>0</v>
      </c>
    </row>
    <row r="100" spans="7:7" x14ac:dyDescent="0.25">
      <c r="G100">
        <f>LEN('ITVP pasiulymas'!F39)</f>
        <v>0</v>
      </c>
    </row>
    <row r="101" spans="7:7" x14ac:dyDescent="0.25">
      <c r="G101">
        <f>LEN('ITVP pasiulymas'!F40)</f>
        <v>0</v>
      </c>
    </row>
    <row r="102" spans="7:7" x14ac:dyDescent="0.25">
      <c r="G102">
        <f>LEN('ITVP pasiulymas'!F41)</f>
        <v>0</v>
      </c>
    </row>
  </sheetData>
  <pageMargins left="0.75" right="0.75" top="1" bottom="1" header="0.51" footer="0.51"/>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Q168"/>
  <sheetViews>
    <sheetView topLeftCell="A37" zoomScaleSheetLayoutView="100" workbookViewId="0">
      <selection activeCell="D90" sqref="D90:G99"/>
    </sheetView>
  </sheetViews>
  <sheetFormatPr defaultColWidth="9" defaultRowHeight="15" x14ac:dyDescent="0.25"/>
  <cols>
    <col min="3" max="3" width="38.28515625" customWidth="1"/>
    <col min="4" max="4" width="29.140625" customWidth="1"/>
    <col min="5" max="5" width="20.85546875" customWidth="1"/>
    <col min="6" max="6" width="28.7109375" customWidth="1"/>
    <col min="7" max="7" width="19.140625" customWidth="1"/>
    <col min="8" max="9" width="12.5703125" customWidth="1"/>
    <col min="10" max="10" width="16" customWidth="1"/>
    <col min="12" max="12" width="15.85546875" customWidth="1"/>
    <col min="13" max="13" width="11.5703125" customWidth="1"/>
    <col min="17" max="17" width="11.42578125" bestFit="1" customWidth="1"/>
  </cols>
  <sheetData>
    <row r="3" spans="1:17" x14ac:dyDescent="0.25">
      <c r="D3" t="s">
        <v>105</v>
      </c>
      <c r="E3" t="s">
        <v>213</v>
      </c>
    </row>
    <row r="6" spans="1:17" x14ac:dyDescent="0.25">
      <c r="A6" t="str">
        <f>MID('1_punktas'!D17,5,3)</f>
        <v/>
      </c>
      <c r="B6" t="e">
        <f>MATCH(A6,C6:C70,0)</f>
        <v>#N/A</v>
      </c>
      <c r="C6" t="str">
        <f>IF(LEN(J6)&gt;4,RIGHT(E6,3),"000")</f>
        <v>007</v>
      </c>
      <c r="D6" t="s">
        <v>214</v>
      </c>
      <c r="E6" s="25" t="s">
        <v>215</v>
      </c>
      <c r="F6" s="25" t="s">
        <v>216</v>
      </c>
      <c r="G6" t="str">
        <f>LEFT(E6,6)</f>
        <v>05.1.1</v>
      </c>
      <c r="H6" t="str">
        <f>LEFT(G6,1)</f>
        <v>0</v>
      </c>
      <c r="J6" t="str">
        <f>IF(H6="0",RIGHT(G6,5),IF(H6="1",RIGHT(G6,6),"–"))</f>
        <v>5.1.1</v>
      </c>
      <c r="L6" t="str">
        <f t="shared" ref="L6:L10" si="0">IF(J6&lt;&gt;"–",M6,"")</f>
        <v>uždavinys</v>
      </c>
      <c r="M6" t="s">
        <v>217</v>
      </c>
      <c r="P6" t="s">
        <v>85</v>
      </c>
      <c r="Q6" t="s">
        <v>218</v>
      </c>
    </row>
    <row r="7" spans="1:17" x14ac:dyDescent="0.25">
      <c r="C7" t="str">
        <f t="shared" ref="C7:C38" si="1">IF(LEN(J7)&gt;4,RIGHT(E7,3),"000")</f>
        <v>008</v>
      </c>
      <c r="D7" t="s">
        <v>214</v>
      </c>
      <c r="E7" s="25" t="s">
        <v>219</v>
      </c>
      <c r="F7" s="25" t="s">
        <v>220</v>
      </c>
      <c r="G7" t="str">
        <f t="shared" ref="G7:G38" si="2">LEFT(E7,6)</f>
        <v>05.2.1</v>
      </c>
      <c r="H7" t="s">
        <v>221</v>
      </c>
      <c r="J7" t="str">
        <f t="shared" ref="J7:J38" si="3">IF(H7="0",RIGHT(G7,5),IF(H7="1",RIGHT(G7,6),"–"))</f>
        <v>5.2.1</v>
      </c>
      <c r="L7" t="str">
        <f t="shared" si="0"/>
        <v>uždavinys</v>
      </c>
      <c r="M7" t="s">
        <v>217</v>
      </c>
      <c r="P7" t="s">
        <v>222</v>
      </c>
      <c r="Q7" t="s">
        <v>223</v>
      </c>
    </row>
    <row r="8" spans="1:17" x14ac:dyDescent="0.25">
      <c r="C8" t="str">
        <f t="shared" si="1"/>
        <v>014</v>
      </c>
      <c r="D8" t="s">
        <v>214</v>
      </c>
      <c r="E8" s="25" t="s">
        <v>224</v>
      </c>
      <c r="F8" s="25" t="s">
        <v>225</v>
      </c>
      <c r="G8" t="str">
        <f t="shared" si="2"/>
        <v>05.3.2</v>
      </c>
      <c r="H8" t="s">
        <v>221</v>
      </c>
      <c r="J8" t="str">
        <f t="shared" si="3"/>
        <v>5.3.2</v>
      </c>
      <c r="L8" t="str">
        <f t="shared" si="0"/>
        <v>uždavinys</v>
      </c>
      <c r="M8" t="s">
        <v>217</v>
      </c>
      <c r="P8" t="s">
        <v>226</v>
      </c>
      <c r="Q8" t="s">
        <v>227</v>
      </c>
    </row>
    <row r="9" spans="1:17" x14ac:dyDescent="0.25">
      <c r="C9" t="str">
        <f t="shared" si="1"/>
        <v>016</v>
      </c>
      <c r="D9" t="s">
        <v>214</v>
      </c>
      <c r="E9" s="25" t="s">
        <v>228</v>
      </c>
      <c r="F9" s="25" t="s">
        <v>229</v>
      </c>
      <c r="G9" t="str">
        <f t="shared" si="2"/>
        <v>05.4.1</v>
      </c>
      <c r="H9" t="s">
        <v>221</v>
      </c>
      <c r="J9" t="str">
        <f t="shared" si="3"/>
        <v>5.4.1</v>
      </c>
      <c r="L9" t="str">
        <f t="shared" si="0"/>
        <v>uždavinys</v>
      </c>
      <c r="M9" t="s">
        <v>217</v>
      </c>
      <c r="P9" t="s">
        <v>230</v>
      </c>
      <c r="Q9" t="s">
        <v>231</v>
      </c>
    </row>
    <row r="10" spans="1:17" x14ac:dyDescent="0.25">
      <c r="C10" t="str">
        <f t="shared" si="1"/>
        <v>017</v>
      </c>
      <c r="D10" t="s">
        <v>214</v>
      </c>
      <c r="E10" s="25" t="s">
        <v>232</v>
      </c>
      <c r="F10" s="25" t="s">
        <v>233</v>
      </c>
      <c r="G10" t="str">
        <f t="shared" si="2"/>
        <v>05.4.1</v>
      </c>
      <c r="H10" t="s">
        <v>221</v>
      </c>
      <c r="J10" t="str">
        <f t="shared" si="3"/>
        <v>5.4.1</v>
      </c>
      <c r="L10" t="str">
        <f t="shared" si="0"/>
        <v>uždavinys</v>
      </c>
      <c r="M10" t="s">
        <v>217</v>
      </c>
      <c r="P10" t="s">
        <v>234</v>
      </c>
      <c r="Q10" t="s">
        <v>235</v>
      </c>
    </row>
    <row r="11" spans="1:17" x14ac:dyDescent="0.25">
      <c r="C11" t="str">
        <f t="shared" si="1"/>
        <v>019</v>
      </c>
      <c r="D11" t="s">
        <v>214</v>
      </c>
      <c r="E11" s="25" t="s">
        <v>236</v>
      </c>
      <c r="F11" s="25" t="s">
        <v>237</v>
      </c>
      <c r="G11" t="str">
        <f t="shared" si="2"/>
        <v>05.5.1</v>
      </c>
      <c r="H11" t="s">
        <v>221</v>
      </c>
      <c r="J11" t="str">
        <f t="shared" si="3"/>
        <v>5.5.1</v>
      </c>
      <c r="L11" t="s">
        <v>217</v>
      </c>
      <c r="M11" t="s">
        <v>217</v>
      </c>
      <c r="P11" t="s">
        <v>238</v>
      </c>
      <c r="Q11" t="s">
        <v>239</v>
      </c>
    </row>
    <row r="12" spans="1:17" x14ac:dyDescent="0.25">
      <c r="C12" t="str">
        <f t="shared" si="1"/>
        <v>021</v>
      </c>
      <c r="D12" t="s">
        <v>214</v>
      </c>
      <c r="E12" s="25" t="s">
        <v>240</v>
      </c>
      <c r="F12" s="25" t="s">
        <v>241</v>
      </c>
      <c r="G12" t="str">
        <f t="shared" si="2"/>
        <v>05.6.1</v>
      </c>
      <c r="H12" t="s">
        <v>221</v>
      </c>
      <c r="J12" t="str">
        <f t="shared" si="3"/>
        <v>5.6.1</v>
      </c>
      <c r="L12" t="str">
        <f t="shared" ref="L12:L25" si="4">IF(J12&lt;&gt;"–",M12,"")</f>
        <v>uždavinys</v>
      </c>
      <c r="M12" t="s">
        <v>217</v>
      </c>
      <c r="P12" t="s">
        <v>242</v>
      </c>
      <c r="Q12" t="s">
        <v>243</v>
      </c>
    </row>
    <row r="13" spans="1:17" x14ac:dyDescent="0.25">
      <c r="C13" t="str">
        <f t="shared" si="1"/>
        <v>000</v>
      </c>
      <c r="D13" t="s">
        <v>214</v>
      </c>
      <c r="E13" t="s">
        <v>244</v>
      </c>
      <c r="G13" t="str">
        <f t="shared" si="2"/>
        <v>Nenuma</v>
      </c>
      <c r="H13" t="s">
        <v>245</v>
      </c>
      <c r="J13" t="str">
        <f t="shared" si="3"/>
        <v>–</v>
      </c>
      <c r="L13" t="str">
        <f t="shared" si="4"/>
        <v/>
      </c>
      <c r="M13" t="s">
        <v>217</v>
      </c>
      <c r="P13" t="s">
        <v>246</v>
      </c>
      <c r="Q13" t="s">
        <v>247</v>
      </c>
    </row>
    <row r="14" spans="1:17" x14ac:dyDescent="0.25">
      <c r="C14" t="str">
        <f t="shared" si="1"/>
        <v>000</v>
      </c>
      <c r="D14" t="s">
        <v>214</v>
      </c>
      <c r="E14" s="26" t="str">
        <f>IF('1_punktas'!E67&lt;&gt;0,'1_punktas'!E67,"Kita (įrašykite D stulpelyje ir pasirinkite)")</f>
        <v>Kita (įrašykite D stulpelyje ir pasirinkite)</v>
      </c>
      <c r="G14" t="str">
        <f t="shared" si="2"/>
        <v>Kita (</v>
      </c>
      <c r="H14" t="s">
        <v>248</v>
      </c>
      <c r="J14" t="str">
        <f t="shared" si="3"/>
        <v>–</v>
      </c>
      <c r="L14" t="str">
        <f t="shared" si="4"/>
        <v/>
      </c>
      <c r="M14" t="s">
        <v>217</v>
      </c>
      <c r="P14" t="s">
        <v>249</v>
      </c>
      <c r="Q14" t="s">
        <v>250</v>
      </c>
    </row>
    <row r="15" spans="1:17" x14ac:dyDescent="0.25">
      <c r="C15" t="str">
        <f t="shared" si="1"/>
        <v>000</v>
      </c>
      <c r="D15" t="s">
        <v>251</v>
      </c>
      <c r="E15" t="s">
        <v>244</v>
      </c>
      <c r="G15" t="str">
        <f t="shared" si="2"/>
        <v>Nenuma</v>
      </c>
      <c r="H15" t="s">
        <v>245</v>
      </c>
      <c r="J15" t="str">
        <f t="shared" si="3"/>
        <v>–</v>
      </c>
      <c r="L15" t="str">
        <f t="shared" si="4"/>
        <v/>
      </c>
      <c r="M15" t="s">
        <v>217</v>
      </c>
      <c r="P15" t="s">
        <v>252</v>
      </c>
      <c r="Q15" t="s">
        <v>253</v>
      </c>
    </row>
    <row r="16" spans="1:17" x14ac:dyDescent="0.25">
      <c r="C16" t="str">
        <f t="shared" si="1"/>
        <v>000</v>
      </c>
      <c r="D16" t="s">
        <v>251</v>
      </c>
      <c r="E16" s="26" t="str">
        <f>IF('1_punktas'!E67&lt;&gt;0,'1_punktas'!E67,"Kita (įrašykite D stulpelyje ir pasirinkite)")</f>
        <v>Kita (įrašykite D stulpelyje ir pasirinkite)</v>
      </c>
      <c r="G16" t="str">
        <f t="shared" si="2"/>
        <v>Kita (</v>
      </c>
      <c r="H16" t="s">
        <v>248</v>
      </c>
      <c r="J16" t="str">
        <f t="shared" si="3"/>
        <v>–</v>
      </c>
      <c r="L16" t="str">
        <f t="shared" si="4"/>
        <v/>
      </c>
      <c r="M16" t="s">
        <v>217</v>
      </c>
      <c r="P16" t="s">
        <v>254</v>
      </c>
      <c r="Q16" t="s">
        <v>255</v>
      </c>
    </row>
    <row r="17" spans="1:17" x14ac:dyDescent="0.25">
      <c r="C17" t="str">
        <f t="shared" si="1"/>
        <v>301</v>
      </c>
      <c r="D17" t="s">
        <v>256</v>
      </c>
      <c r="E17" s="1" t="s">
        <v>257</v>
      </c>
      <c r="F17" s="1" t="s">
        <v>258</v>
      </c>
      <c r="G17" t="str">
        <f t="shared" si="2"/>
        <v>05.4.1</v>
      </c>
      <c r="H17" t="s">
        <v>221</v>
      </c>
      <c r="J17" t="str">
        <f t="shared" si="3"/>
        <v>5.4.1</v>
      </c>
      <c r="L17" t="str">
        <f t="shared" si="4"/>
        <v>uždavinys</v>
      </c>
      <c r="M17" t="s">
        <v>217</v>
      </c>
      <c r="P17" t="s">
        <v>259</v>
      </c>
      <c r="Q17" t="s">
        <v>260</v>
      </c>
    </row>
    <row r="18" spans="1:17" x14ac:dyDescent="0.25">
      <c r="C18" t="str">
        <f t="shared" si="1"/>
        <v>302</v>
      </c>
      <c r="D18" t="s">
        <v>256</v>
      </c>
      <c r="E18" s="1" t="s">
        <v>261</v>
      </c>
      <c r="F18" s="1" t="s">
        <v>262</v>
      </c>
      <c r="G18" t="str">
        <f t="shared" si="2"/>
        <v>05.4.1</v>
      </c>
      <c r="H18" t="s">
        <v>221</v>
      </c>
      <c r="J18" t="str">
        <f t="shared" si="3"/>
        <v>5.4.1</v>
      </c>
      <c r="L18" t="str">
        <f t="shared" si="4"/>
        <v>uždavinys</v>
      </c>
      <c r="M18" t="s">
        <v>217</v>
      </c>
      <c r="P18" t="s">
        <v>263</v>
      </c>
      <c r="Q18" t="s">
        <v>264</v>
      </c>
    </row>
    <row r="19" spans="1:17" x14ac:dyDescent="0.25">
      <c r="C19" t="str">
        <f t="shared" si="1"/>
        <v>304</v>
      </c>
      <c r="D19" t="s">
        <v>256</v>
      </c>
      <c r="E19" s="1" t="s">
        <v>265</v>
      </c>
      <c r="F19" s="1" t="s">
        <v>266</v>
      </c>
      <c r="G19" t="str">
        <f t="shared" si="2"/>
        <v>07.1.1</v>
      </c>
      <c r="H19" t="s">
        <v>221</v>
      </c>
      <c r="J19" t="str">
        <f t="shared" si="3"/>
        <v>7.1.1</v>
      </c>
      <c r="L19" t="str">
        <f t="shared" si="4"/>
        <v>uždavinys</v>
      </c>
      <c r="M19" t="s">
        <v>217</v>
      </c>
      <c r="P19" t="s">
        <v>267</v>
      </c>
      <c r="Q19" t="s">
        <v>268</v>
      </c>
    </row>
    <row r="20" spans="1:17" x14ac:dyDescent="0.25">
      <c r="C20" t="str">
        <f t="shared" si="1"/>
        <v>305</v>
      </c>
      <c r="D20" t="s">
        <v>256</v>
      </c>
      <c r="E20" s="1" t="s">
        <v>269</v>
      </c>
      <c r="F20" s="1" t="s">
        <v>270</v>
      </c>
      <c r="G20" t="str">
        <f t="shared" si="2"/>
        <v>07.1.1</v>
      </c>
      <c r="H20" t="s">
        <v>221</v>
      </c>
      <c r="J20" t="str">
        <f t="shared" si="3"/>
        <v>7.1.1</v>
      </c>
      <c r="L20" t="str">
        <f t="shared" si="4"/>
        <v>uždavinys</v>
      </c>
      <c r="M20" t="s">
        <v>217</v>
      </c>
      <c r="P20" t="s">
        <v>271</v>
      </c>
      <c r="Q20" t="s">
        <v>272</v>
      </c>
    </row>
    <row r="21" spans="1:17" x14ac:dyDescent="0.25">
      <c r="C21" t="str">
        <f t="shared" si="1"/>
        <v>306</v>
      </c>
      <c r="D21" t="s">
        <v>256</v>
      </c>
      <c r="E21" s="1" t="s">
        <v>273</v>
      </c>
      <c r="F21" s="1" t="s">
        <v>274</v>
      </c>
      <c r="G21" t="str">
        <f t="shared" si="2"/>
        <v>07.1.1</v>
      </c>
      <c r="H21" t="s">
        <v>221</v>
      </c>
      <c r="J21" t="str">
        <f t="shared" si="3"/>
        <v>7.1.1</v>
      </c>
      <c r="L21" t="str">
        <f t="shared" si="4"/>
        <v>uždavinys</v>
      </c>
      <c r="M21" t="s">
        <v>217</v>
      </c>
      <c r="P21" t="s">
        <v>275</v>
      </c>
      <c r="Q21" s="30" t="s">
        <v>276</v>
      </c>
    </row>
    <row r="22" spans="1:17" x14ac:dyDescent="0.25">
      <c r="C22" t="str">
        <f t="shared" si="1"/>
        <v>000</v>
      </c>
      <c r="D22" t="s">
        <v>256</v>
      </c>
      <c r="E22" t="s">
        <v>244</v>
      </c>
      <c r="G22" t="str">
        <f t="shared" si="2"/>
        <v>Nenuma</v>
      </c>
      <c r="H22" t="s">
        <v>245</v>
      </c>
      <c r="J22" t="str">
        <f t="shared" si="3"/>
        <v>–</v>
      </c>
      <c r="L22" t="str">
        <f t="shared" si="4"/>
        <v/>
      </c>
      <c r="M22" t="s">
        <v>217</v>
      </c>
      <c r="P22" t="s">
        <v>277</v>
      </c>
      <c r="Q22" t="s">
        <v>278</v>
      </c>
    </row>
    <row r="23" spans="1:17" x14ac:dyDescent="0.25">
      <c r="C23" t="str">
        <f t="shared" si="1"/>
        <v>000</v>
      </c>
      <c r="D23" t="s">
        <v>256</v>
      </c>
      <c r="E23" s="26" t="str">
        <f>IF('1_punktas'!E67&lt;&gt;0,'1_punktas'!E67,"Kita (įrašykite D stulpelyje ir pasirinkite)")</f>
        <v>Kita (įrašykite D stulpelyje ir pasirinkite)</v>
      </c>
      <c r="G23" t="str">
        <f t="shared" si="2"/>
        <v>Kita (</v>
      </c>
      <c r="H23" t="s">
        <v>248</v>
      </c>
      <c r="J23" t="str">
        <f t="shared" si="3"/>
        <v>–</v>
      </c>
      <c r="L23" t="str">
        <f t="shared" si="4"/>
        <v/>
      </c>
      <c r="M23" t="s">
        <v>217</v>
      </c>
      <c r="P23" t="s">
        <v>279</v>
      </c>
      <c r="Q23" t="s">
        <v>280</v>
      </c>
    </row>
    <row r="24" spans="1:17" x14ac:dyDescent="0.25">
      <c r="C24" t="str">
        <f t="shared" si="1"/>
        <v>407</v>
      </c>
      <c r="D24" t="s">
        <v>281</v>
      </c>
      <c r="E24" s="1" t="s">
        <v>282</v>
      </c>
      <c r="F24" s="1" t="s">
        <v>283</v>
      </c>
      <c r="G24" t="str">
        <f t="shared" si="2"/>
        <v>08.1.1</v>
      </c>
      <c r="H24" t="s">
        <v>221</v>
      </c>
      <c r="J24" t="str">
        <f t="shared" si="3"/>
        <v>8.1.1</v>
      </c>
      <c r="L24" t="str">
        <f t="shared" si="4"/>
        <v>uždavinys</v>
      </c>
      <c r="M24" t="s">
        <v>217</v>
      </c>
      <c r="P24" t="s">
        <v>284</v>
      </c>
      <c r="Q24" t="s">
        <v>285</v>
      </c>
    </row>
    <row r="25" spans="1:17" x14ac:dyDescent="0.25">
      <c r="C25" t="str">
        <f t="shared" si="1"/>
        <v>408</v>
      </c>
      <c r="D25" t="s">
        <v>281</v>
      </c>
      <c r="E25" s="1" t="s">
        <v>286</v>
      </c>
      <c r="F25" s="1" t="s">
        <v>287</v>
      </c>
      <c r="G25" t="str">
        <f t="shared" si="2"/>
        <v>08.1.2</v>
      </c>
      <c r="H25" t="s">
        <v>221</v>
      </c>
      <c r="J25" t="str">
        <f t="shared" si="3"/>
        <v>8.1.2</v>
      </c>
      <c r="L25" t="str">
        <f t="shared" si="4"/>
        <v>uždavinys</v>
      </c>
      <c r="M25" t="s">
        <v>217</v>
      </c>
      <c r="P25" t="s">
        <v>288</v>
      </c>
      <c r="Q25" s="31" t="s">
        <v>289</v>
      </c>
    </row>
    <row r="26" spans="1:17" x14ac:dyDescent="0.25">
      <c r="C26" t="str">
        <f t="shared" si="1"/>
        <v>416</v>
      </c>
      <c r="D26" t="s">
        <v>281</v>
      </c>
      <c r="E26" s="1" t="s">
        <v>290</v>
      </c>
      <c r="F26" s="1" t="s">
        <v>291</v>
      </c>
      <c r="G26" t="str">
        <f t="shared" si="2"/>
        <v>08.4.1</v>
      </c>
      <c r="H26" t="s">
        <v>221</v>
      </c>
      <c r="J26" t="str">
        <f t="shared" si="3"/>
        <v>8.4.1</v>
      </c>
      <c r="P26" t="s">
        <v>292</v>
      </c>
      <c r="Q26" t="s">
        <v>293</v>
      </c>
    </row>
    <row r="27" spans="1:17" x14ac:dyDescent="0.25">
      <c r="C27" t="str">
        <f t="shared" si="1"/>
        <v>000</v>
      </c>
      <c r="D27" t="s">
        <v>281</v>
      </c>
      <c r="E27" t="s">
        <v>244</v>
      </c>
      <c r="G27" t="str">
        <f t="shared" si="2"/>
        <v>Nenuma</v>
      </c>
      <c r="H27" t="s">
        <v>245</v>
      </c>
      <c r="J27" t="str">
        <f t="shared" si="3"/>
        <v>–</v>
      </c>
      <c r="L27" t="str">
        <f t="shared" ref="L27:L30" si="5">IF(J27&lt;&gt;"–",M27,"")</f>
        <v/>
      </c>
      <c r="M27" t="s">
        <v>217</v>
      </c>
      <c r="P27" t="s">
        <v>294</v>
      </c>
      <c r="Q27" t="s">
        <v>295</v>
      </c>
    </row>
    <row r="28" spans="1:17" x14ac:dyDescent="0.25">
      <c r="A28" s="1"/>
      <c r="B28" s="1"/>
      <c r="C28" t="str">
        <f t="shared" si="1"/>
        <v>000</v>
      </c>
      <c r="D28" t="s">
        <v>281</v>
      </c>
      <c r="E28" s="26" t="str">
        <f>IF('1_punktas'!E67&lt;&gt;0,'1_punktas'!E67,"Kita (įrašykite D stulpelyje ir pasirinkite)")</f>
        <v>Kita (įrašykite D stulpelyje ir pasirinkite)</v>
      </c>
      <c r="G28" t="str">
        <f t="shared" si="2"/>
        <v>Kita (</v>
      </c>
      <c r="H28" t="s">
        <v>248</v>
      </c>
      <c r="J28" t="str">
        <f t="shared" si="3"/>
        <v>–</v>
      </c>
      <c r="L28" t="str">
        <f t="shared" si="5"/>
        <v/>
      </c>
      <c r="M28" t="s">
        <v>217</v>
      </c>
      <c r="P28" t="s">
        <v>296</v>
      </c>
      <c r="Q28" t="s">
        <v>297</v>
      </c>
    </row>
    <row r="29" spans="1:17" x14ac:dyDescent="0.25">
      <c r="A29" s="1"/>
      <c r="B29" s="1"/>
      <c r="C29" t="str">
        <f t="shared" si="1"/>
        <v>501</v>
      </c>
      <c r="D29" t="s">
        <v>298</v>
      </c>
      <c r="E29" s="27" t="s">
        <v>299</v>
      </c>
      <c r="F29" s="27" t="s">
        <v>300</v>
      </c>
      <c r="G29" t="str">
        <f t="shared" si="2"/>
        <v>06.1.1</v>
      </c>
      <c r="H29" t="s">
        <v>221</v>
      </c>
      <c r="J29" t="str">
        <f t="shared" si="3"/>
        <v>6.1.1</v>
      </c>
      <c r="L29" t="str">
        <f t="shared" si="5"/>
        <v>uždavinys</v>
      </c>
      <c r="M29" t="s">
        <v>217</v>
      </c>
      <c r="P29" t="s">
        <v>301</v>
      </c>
      <c r="Q29" t="s">
        <v>302</v>
      </c>
    </row>
    <row r="30" spans="1:17" x14ac:dyDescent="0.25">
      <c r="A30" s="1"/>
      <c r="B30" s="1"/>
      <c r="C30" t="str">
        <f t="shared" si="1"/>
        <v>502</v>
      </c>
      <c r="D30" t="s">
        <v>298</v>
      </c>
      <c r="E30" s="27" t="s">
        <v>303</v>
      </c>
      <c r="F30" s="27" t="s">
        <v>304</v>
      </c>
      <c r="G30" t="str">
        <f t="shared" si="2"/>
        <v>06.1.1</v>
      </c>
      <c r="H30" t="s">
        <v>221</v>
      </c>
      <c r="J30" t="str">
        <f t="shared" si="3"/>
        <v>6.1.1</v>
      </c>
      <c r="L30" t="str">
        <f t="shared" si="5"/>
        <v>uždavinys</v>
      </c>
      <c r="M30" t="s">
        <v>217</v>
      </c>
      <c r="P30" t="s">
        <v>305</v>
      </c>
      <c r="Q30" t="s">
        <v>306</v>
      </c>
    </row>
    <row r="31" spans="1:17" x14ac:dyDescent="0.25">
      <c r="A31" s="1"/>
      <c r="B31" s="1"/>
      <c r="C31" t="str">
        <f t="shared" si="1"/>
        <v>508</v>
      </c>
      <c r="D31" t="s">
        <v>298</v>
      </c>
      <c r="E31" s="27" t="s">
        <v>307</v>
      </c>
      <c r="F31" s="27" t="s">
        <v>308</v>
      </c>
      <c r="G31" t="str">
        <f t="shared" si="2"/>
        <v>06.2.1</v>
      </c>
      <c r="H31" t="str">
        <f t="shared" ref="H31:H54" si="6">LEFT(E31,1)</f>
        <v>0</v>
      </c>
      <c r="J31" t="str">
        <f t="shared" si="3"/>
        <v>6.2.1</v>
      </c>
      <c r="P31" t="s">
        <v>309</v>
      </c>
      <c r="Q31" t="s">
        <v>310</v>
      </c>
    </row>
    <row r="32" spans="1:17" x14ac:dyDescent="0.25">
      <c r="A32" s="1"/>
      <c r="B32" s="1"/>
      <c r="C32" t="str">
        <f t="shared" si="1"/>
        <v>507</v>
      </c>
      <c r="D32" t="s">
        <v>298</v>
      </c>
      <c r="E32" s="27" t="s">
        <v>311</v>
      </c>
      <c r="F32" s="27" t="s">
        <v>312</v>
      </c>
      <c r="G32" t="str">
        <f t="shared" si="2"/>
        <v>06.2.1</v>
      </c>
      <c r="H32" t="str">
        <f t="shared" si="6"/>
        <v>0</v>
      </c>
      <c r="J32" t="str">
        <f t="shared" si="3"/>
        <v>6.2.1</v>
      </c>
      <c r="P32" t="s">
        <v>313</v>
      </c>
      <c r="Q32" t="s">
        <v>314</v>
      </c>
    </row>
    <row r="33" spans="1:17" x14ac:dyDescent="0.25">
      <c r="A33" s="1"/>
      <c r="B33" s="1"/>
      <c r="C33" t="str">
        <f t="shared" si="1"/>
        <v>511</v>
      </c>
      <c r="D33" t="s">
        <v>298</v>
      </c>
      <c r="E33" s="27" t="s">
        <v>315</v>
      </c>
      <c r="F33" s="27" t="s">
        <v>316</v>
      </c>
      <c r="G33" t="str">
        <f t="shared" si="2"/>
        <v>06.2.1</v>
      </c>
      <c r="H33" t="str">
        <f t="shared" si="6"/>
        <v>0</v>
      </c>
      <c r="J33" t="str">
        <f t="shared" si="3"/>
        <v>6.2.1</v>
      </c>
      <c r="P33" t="s">
        <v>317</v>
      </c>
      <c r="Q33" t="s">
        <v>318</v>
      </c>
    </row>
    <row r="34" spans="1:17" x14ac:dyDescent="0.25">
      <c r="A34" s="1"/>
      <c r="B34" s="1"/>
      <c r="C34" t="str">
        <f t="shared" si="1"/>
        <v>512</v>
      </c>
      <c r="D34" t="s">
        <v>298</v>
      </c>
      <c r="E34" s="27" t="s">
        <v>319</v>
      </c>
      <c r="F34" s="27" t="s">
        <v>320</v>
      </c>
      <c r="G34" t="str">
        <f t="shared" si="2"/>
        <v>06.2.1</v>
      </c>
      <c r="H34" t="str">
        <f t="shared" si="6"/>
        <v>0</v>
      </c>
      <c r="J34" t="str">
        <f t="shared" si="3"/>
        <v>6.2.1</v>
      </c>
      <c r="P34" t="s">
        <v>321</v>
      </c>
      <c r="Q34" t="s">
        <v>322</v>
      </c>
    </row>
    <row r="35" spans="1:17" x14ac:dyDescent="0.25">
      <c r="A35" s="1"/>
      <c r="B35" s="1"/>
      <c r="C35" t="str">
        <f t="shared" si="1"/>
        <v>513</v>
      </c>
      <c r="D35" t="s">
        <v>298</v>
      </c>
      <c r="E35" s="27" t="s">
        <v>323</v>
      </c>
      <c r="F35" s="27" t="s">
        <v>324</v>
      </c>
      <c r="G35" t="str">
        <f t="shared" si="2"/>
        <v>04.5.1</v>
      </c>
      <c r="H35" t="str">
        <f t="shared" si="6"/>
        <v>0</v>
      </c>
      <c r="J35" t="str">
        <f t="shared" si="3"/>
        <v>4.5.1</v>
      </c>
      <c r="P35" t="s">
        <v>325</v>
      </c>
      <c r="Q35" t="s">
        <v>326</v>
      </c>
    </row>
    <row r="36" spans="1:17" x14ac:dyDescent="0.25">
      <c r="A36" s="1"/>
      <c r="B36" s="1"/>
      <c r="C36" t="str">
        <f t="shared" si="1"/>
        <v>514</v>
      </c>
      <c r="D36" t="s">
        <v>298</v>
      </c>
      <c r="E36" s="27" t="s">
        <v>327</v>
      </c>
      <c r="F36" s="27" t="s">
        <v>328</v>
      </c>
      <c r="G36" t="str">
        <f t="shared" si="2"/>
        <v>04.5.1</v>
      </c>
      <c r="H36" t="str">
        <f t="shared" si="6"/>
        <v>0</v>
      </c>
      <c r="J36" t="str">
        <f t="shared" si="3"/>
        <v>4.5.1</v>
      </c>
      <c r="P36" t="s">
        <v>329</v>
      </c>
      <c r="Q36" t="s">
        <v>330</v>
      </c>
    </row>
    <row r="37" spans="1:17" x14ac:dyDescent="0.25">
      <c r="A37" s="1"/>
      <c r="B37" s="1"/>
      <c r="C37" t="str">
        <f t="shared" si="1"/>
        <v>516</v>
      </c>
      <c r="D37" t="s">
        <v>298</v>
      </c>
      <c r="E37" s="27" t="s">
        <v>331</v>
      </c>
      <c r="F37" s="27" t="s">
        <v>332</v>
      </c>
      <c r="G37" t="str">
        <f t="shared" si="2"/>
        <v>04.5.1</v>
      </c>
      <c r="H37" t="str">
        <f t="shared" si="6"/>
        <v>0</v>
      </c>
      <c r="J37" t="str">
        <f t="shared" si="3"/>
        <v>4.5.1</v>
      </c>
      <c r="P37" t="s">
        <v>333</v>
      </c>
      <c r="Q37" t="s">
        <v>334</v>
      </c>
    </row>
    <row r="38" spans="1:17" x14ac:dyDescent="0.25">
      <c r="A38" s="1"/>
      <c r="B38" s="1"/>
      <c r="C38" t="str">
        <f t="shared" si="1"/>
        <v>517</v>
      </c>
      <c r="D38" t="s">
        <v>298</v>
      </c>
      <c r="E38" s="27" t="s">
        <v>335</v>
      </c>
      <c r="F38" s="27" t="s">
        <v>336</v>
      </c>
      <c r="G38" t="str">
        <f t="shared" si="2"/>
        <v>04.5.1</v>
      </c>
      <c r="H38" t="str">
        <f t="shared" si="6"/>
        <v>0</v>
      </c>
      <c r="J38" t="str">
        <f t="shared" si="3"/>
        <v>4.5.1</v>
      </c>
      <c r="P38" t="s">
        <v>337</v>
      </c>
      <c r="Q38" s="30" t="s">
        <v>338</v>
      </c>
    </row>
    <row r="39" spans="1:17" x14ac:dyDescent="0.25">
      <c r="C39" t="str">
        <f t="shared" ref="C39:C65" si="7">IF(LEN(J39)&gt;4,RIGHT(E39,3),"000")</f>
        <v>518</v>
      </c>
      <c r="D39" t="s">
        <v>298</v>
      </c>
      <c r="E39" s="27" t="s">
        <v>339</v>
      </c>
      <c r="F39" s="27" t="s">
        <v>340</v>
      </c>
      <c r="G39" t="str">
        <f t="shared" ref="G39:G71" si="8">LEFT(E39,6)</f>
        <v>04.5.1</v>
      </c>
      <c r="H39" t="str">
        <f t="shared" si="6"/>
        <v>0</v>
      </c>
      <c r="J39" t="str">
        <f t="shared" ref="J39:J70" si="9">IF(H39="0",RIGHT(G39,5),IF(H39="1",RIGHT(G39,6),"–"))</f>
        <v>4.5.1</v>
      </c>
      <c r="L39" t="str">
        <f t="shared" ref="L39:L47" si="10">IF(J39&lt;&gt;"–",M39,"")</f>
        <v>uždavinys</v>
      </c>
      <c r="M39" t="s">
        <v>217</v>
      </c>
      <c r="P39" t="s">
        <v>341</v>
      </c>
      <c r="Q39" t="s">
        <v>342</v>
      </c>
    </row>
    <row r="40" spans="1:17" x14ac:dyDescent="0.25">
      <c r="C40" t="str">
        <f t="shared" si="7"/>
        <v>000</v>
      </c>
      <c r="D40" t="s">
        <v>298</v>
      </c>
      <c r="E40" t="s">
        <v>244</v>
      </c>
      <c r="G40" t="str">
        <f t="shared" si="8"/>
        <v>Nenuma</v>
      </c>
      <c r="H40" t="str">
        <f t="shared" si="6"/>
        <v>N</v>
      </c>
      <c r="J40" t="str">
        <f t="shared" si="9"/>
        <v>–</v>
      </c>
      <c r="L40" t="str">
        <f t="shared" si="10"/>
        <v/>
      </c>
      <c r="M40" t="s">
        <v>217</v>
      </c>
      <c r="P40" t="s">
        <v>343</v>
      </c>
      <c r="Q40" t="s">
        <v>344</v>
      </c>
    </row>
    <row r="41" spans="1:17" x14ac:dyDescent="0.25">
      <c r="C41" t="str">
        <f t="shared" si="7"/>
        <v>000</v>
      </c>
      <c r="D41" t="s">
        <v>298</v>
      </c>
      <c r="E41" s="26" t="str">
        <f>IF('1_punktas'!E67&lt;&gt;0,'1_punktas'!E67,"Kita (įrašykite D stulpelyje ir pasirinkite)")</f>
        <v>Kita (įrašykite D stulpelyje ir pasirinkite)</v>
      </c>
      <c r="G41" t="str">
        <f t="shared" si="8"/>
        <v>Kita (</v>
      </c>
      <c r="H41" t="str">
        <f t="shared" si="6"/>
        <v>K</v>
      </c>
      <c r="J41" t="str">
        <f t="shared" si="9"/>
        <v>–</v>
      </c>
      <c r="L41" t="str">
        <f t="shared" si="10"/>
        <v/>
      </c>
      <c r="M41" t="s">
        <v>217</v>
      </c>
      <c r="P41" t="s">
        <v>345</v>
      </c>
      <c r="Q41" t="s">
        <v>346</v>
      </c>
    </row>
    <row r="42" spans="1:17" x14ac:dyDescent="0.25">
      <c r="C42" t="str">
        <f t="shared" si="7"/>
        <v>609</v>
      </c>
      <c r="D42" t="s">
        <v>347</v>
      </c>
      <c r="E42" s="1" t="s">
        <v>348</v>
      </c>
      <c r="F42" s="1" t="s">
        <v>349</v>
      </c>
      <c r="G42" t="str">
        <f t="shared" si="8"/>
        <v>08.1.3</v>
      </c>
      <c r="H42" t="str">
        <f t="shared" si="6"/>
        <v>0</v>
      </c>
      <c r="J42" t="str">
        <f t="shared" si="9"/>
        <v>8.1.3</v>
      </c>
      <c r="L42" t="str">
        <f t="shared" si="10"/>
        <v>uždavinys</v>
      </c>
      <c r="M42" t="s">
        <v>217</v>
      </c>
      <c r="P42" t="s">
        <v>350</v>
      </c>
      <c r="Q42" s="30" t="s">
        <v>351</v>
      </c>
    </row>
    <row r="43" spans="1:17" x14ac:dyDescent="0.25">
      <c r="C43" t="str">
        <f t="shared" si="7"/>
        <v>630</v>
      </c>
      <c r="D43" t="s">
        <v>347</v>
      </c>
      <c r="E43" s="1" t="s">
        <v>352</v>
      </c>
      <c r="F43" s="1" t="s">
        <v>353</v>
      </c>
      <c r="G43" t="str">
        <f t="shared" si="8"/>
        <v>08.4.2</v>
      </c>
      <c r="H43" t="str">
        <f t="shared" si="6"/>
        <v>0</v>
      </c>
      <c r="J43" t="str">
        <f t="shared" si="9"/>
        <v>8.4.2</v>
      </c>
      <c r="L43" t="str">
        <f t="shared" si="10"/>
        <v>uždavinys</v>
      </c>
      <c r="M43" t="s">
        <v>217</v>
      </c>
      <c r="P43" t="s">
        <v>354</v>
      </c>
      <c r="Q43" t="s">
        <v>355</v>
      </c>
    </row>
    <row r="44" spans="1:17" x14ac:dyDescent="0.25">
      <c r="C44" t="str">
        <f t="shared" si="7"/>
        <v>615</v>
      </c>
      <c r="D44" t="s">
        <v>347</v>
      </c>
      <c r="E44" s="1" t="s">
        <v>356</v>
      </c>
      <c r="F44" s="1" t="s">
        <v>357</v>
      </c>
      <c r="G44" t="str">
        <f t="shared" si="8"/>
        <v>08.4.2</v>
      </c>
      <c r="H44" t="str">
        <f t="shared" si="6"/>
        <v>0</v>
      </c>
      <c r="J44" t="str">
        <f t="shared" si="9"/>
        <v>8.4.2</v>
      </c>
      <c r="L44" t="str">
        <f t="shared" si="10"/>
        <v>uždavinys</v>
      </c>
      <c r="M44" t="s">
        <v>217</v>
      </c>
      <c r="P44" t="s">
        <v>358</v>
      </c>
      <c r="Q44" s="30" t="s">
        <v>359</v>
      </c>
    </row>
    <row r="45" spans="1:17" x14ac:dyDescent="0.25">
      <c r="C45" t="str">
        <f t="shared" si="7"/>
        <v>000</v>
      </c>
      <c r="D45" t="s">
        <v>347</v>
      </c>
      <c r="E45" t="s">
        <v>244</v>
      </c>
      <c r="G45" t="str">
        <f t="shared" si="8"/>
        <v>Nenuma</v>
      </c>
      <c r="H45" t="str">
        <f t="shared" si="6"/>
        <v>N</v>
      </c>
      <c r="J45" t="str">
        <f t="shared" si="9"/>
        <v>–</v>
      </c>
      <c r="L45" t="str">
        <f t="shared" si="10"/>
        <v/>
      </c>
      <c r="M45" t="s">
        <v>217</v>
      </c>
      <c r="P45" t="s">
        <v>360</v>
      </c>
      <c r="Q45" t="s">
        <v>361</v>
      </c>
    </row>
    <row r="46" spans="1:17" x14ac:dyDescent="0.25">
      <c r="C46" t="str">
        <f t="shared" si="7"/>
        <v>000</v>
      </c>
      <c r="D46" t="s">
        <v>347</v>
      </c>
      <c r="E46" s="26" t="str">
        <f>IF('1_punktas'!E67&lt;&gt;0,'1_punktas'!E67,"Kita (įrašykite D stulpelyje ir pasirinkite)")</f>
        <v>Kita (įrašykite D stulpelyje ir pasirinkite)</v>
      </c>
      <c r="G46" t="str">
        <f t="shared" si="8"/>
        <v>Kita (</v>
      </c>
      <c r="H46" t="str">
        <f t="shared" si="6"/>
        <v>K</v>
      </c>
      <c r="J46" t="str">
        <f t="shared" si="9"/>
        <v>–</v>
      </c>
      <c r="L46" t="str">
        <f t="shared" si="10"/>
        <v/>
      </c>
      <c r="M46" t="s">
        <v>217</v>
      </c>
      <c r="P46" t="s">
        <v>362</v>
      </c>
      <c r="Q46" t="s">
        <v>363</v>
      </c>
    </row>
    <row r="47" spans="1:17" x14ac:dyDescent="0.25">
      <c r="C47" t="str">
        <f t="shared" si="7"/>
        <v>705</v>
      </c>
      <c r="D47" t="s">
        <v>364</v>
      </c>
      <c r="E47" s="1" t="s">
        <v>365</v>
      </c>
      <c r="F47" s="1" t="s">
        <v>366</v>
      </c>
      <c r="G47" t="str">
        <f t="shared" si="8"/>
        <v>09.1.3</v>
      </c>
      <c r="H47" t="str">
        <f t="shared" si="6"/>
        <v>0</v>
      </c>
      <c r="J47" t="str">
        <f t="shared" si="9"/>
        <v>9.1.3</v>
      </c>
      <c r="L47" t="str">
        <f t="shared" si="10"/>
        <v>uždavinys</v>
      </c>
      <c r="M47" t="s">
        <v>217</v>
      </c>
      <c r="P47" t="s">
        <v>367</v>
      </c>
      <c r="Q47" t="s">
        <v>368</v>
      </c>
    </row>
    <row r="48" spans="1:17" x14ac:dyDescent="0.25">
      <c r="C48" t="str">
        <f t="shared" si="7"/>
        <v>721</v>
      </c>
      <c r="D48" t="s">
        <v>364</v>
      </c>
      <c r="E48" s="1" t="s">
        <v>369</v>
      </c>
      <c r="F48" s="1" t="s">
        <v>370</v>
      </c>
      <c r="G48" t="str">
        <f t="shared" si="8"/>
        <v>09.1.2</v>
      </c>
      <c r="H48" t="str">
        <f t="shared" si="6"/>
        <v>0</v>
      </c>
      <c r="J48" t="str">
        <f t="shared" si="9"/>
        <v>9.1.2</v>
      </c>
      <c r="M48" t="s">
        <v>217</v>
      </c>
      <c r="P48" t="s">
        <v>371</v>
      </c>
      <c r="Q48" t="s">
        <v>372</v>
      </c>
    </row>
    <row r="49" spans="3:17" x14ac:dyDescent="0.25">
      <c r="C49" t="str">
        <f t="shared" si="7"/>
        <v>724</v>
      </c>
      <c r="D49" t="s">
        <v>364</v>
      </c>
      <c r="E49" s="1" t="s">
        <v>373</v>
      </c>
      <c r="F49" s="1" t="s">
        <v>374</v>
      </c>
      <c r="G49" t="str">
        <f t="shared" si="8"/>
        <v>09.1.3</v>
      </c>
      <c r="H49" t="str">
        <f t="shared" si="6"/>
        <v>0</v>
      </c>
      <c r="J49" t="str">
        <f t="shared" si="9"/>
        <v>9.1.3</v>
      </c>
      <c r="L49" t="str">
        <f t="shared" ref="L49:L55" si="11">IF(J49&lt;&gt;"–",M49,"")</f>
        <v>uždavinys</v>
      </c>
      <c r="M49" t="s">
        <v>217</v>
      </c>
      <c r="P49" t="s">
        <v>375</v>
      </c>
      <c r="Q49" t="s">
        <v>376</v>
      </c>
    </row>
    <row r="50" spans="3:17" x14ac:dyDescent="0.25">
      <c r="C50" t="str">
        <f t="shared" si="7"/>
        <v>725</v>
      </c>
      <c r="D50" t="s">
        <v>364</v>
      </c>
      <c r="E50" s="1" t="s">
        <v>377</v>
      </c>
      <c r="F50" s="1" t="s">
        <v>378</v>
      </c>
      <c r="G50" t="str">
        <f t="shared" si="8"/>
        <v>09.1.3</v>
      </c>
      <c r="H50" t="str">
        <f t="shared" si="6"/>
        <v>0</v>
      </c>
      <c r="J50" t="str">
        <f t="shared" si="9"/>
        <v>9.1.3</v>
      </c>
      <c r="L50" t="str">
        <f t="shared" si="11"/>
        <v>uždavinys</v>
      </c>
      <c r="M50" t="s">
        <v>217</v>
      </c>
      <c r="P50" t="s">
        <v>379</v>
      </c>
      <c r="Q50" t="s">
        <v>380</v>
      </c>
    </row>
    <row r="51" spans="3:17" x14ac:dyDescent="0.25">
      <c r="C51" t="str">
        <f t="shared" si="7"/>
        <v>000</v>
      </c>
      <c r="D51" t="s">
        <v>364</v>
      </c>
      <c r="E51" s="28" t="s">
        <v>244</v>
      </c>
      <c r="G51" t="str">
        <f t="shared" si="8"/>
        <v>Nenuma</v>
      </c>
      <c r="H51" t="str">
        <f t="shared" si="6"/>
        <v>N</v>
      </c>
      <c r="J51" t="str">
        <f t="shared" si="9"/>
        <v>–</v>
      </c>
      <c r="L51" t="str">
        <f t="shared" si="11"/>
        <v/>
      </c>
      <c r="M51" t="s">
        <v>217</v>
      </c>
      <c r="P51" t="s">
        <v>381</v>
      </c>
      <c r="Q51" s="30" t="s">
        <v>382</v>
      </c>
    </row>
    <row r="52" spans="3:17" x14ac:dyDescent="0.25">
      <c r="C52" t="str">
        <f t="shared" si="7"/>
        <v>000</v>
      </c>
      <c r="D52" t="s">
        <v>364</v>
      </c>
      <c r="E52" s="26" t="str">
        <f>IF('1_punktas'!E67&lt;&gt;0,'1_punktas'!E67,"Kita (įrašykite D stulpelyje ir pasirinkite)")</f>
        <v>Kita (įrašykite D stulpelyje ir pasirinkite)</v>
      </c>
      <c r="G52" t="str">
        <f t="shared" si="8"/>
        <v>Kita (</v>
      </c>
      <c r="H52" t="str">
        <f t="shared" si="6"/>
        <v>K</v>
      </c>
      <c r="J52" t="str">
        <f t="shared" si="9"/>
        <v>–</v>
      </c>
      <c r="L52" t="str">
        <f t="shared" si="11"/>
        <v/>
      </c>
      <c r="M52" t="s">
        <v>217</v>
      </c>
      <c r="P52" t="s">
        <v>383</v>
      </c>
      <c r="Q52" t="s">
        <v>384</v>
      </c>
    </row>
    <row r="53" spans="3:17" x14ac:dyDescent="0.25">
      <c r="C53" t="str">
        <f t="shared" si="7"/>
        <v>830</v>
      </c>
      <c r="D53" t="s">
        <v>385</v>
      </c>
      <c r="E53" t="s">
        <v>386</v>
      </c>
      <c r="F53" t="s">
        <v>387</v>
      </c>
      <c r="G53" t="str">
        <f t="shared" si="8"/>
        <v>01.2.1</v>
      </c>
      <c r="H53" t="str">
        <f t="shared" si="6"/>
        <v>0</v>
      </c>
      <c r="J53" t="str">
        <f t="shared" si="9"/>
        <v>1.2.1</v>
      </c>
      <c r="L53" t="str">
        <f t="shared" si="11"/>
        <v>uždavinys</v>
      </c>
      <c r="M53" t="s">
        <v>217</v>
      </c>
      <c r="P53" t="s">
        <v>388</v>
      </c>
      <c r="Q53" t="s">
        <v>389</v>
      </c>
    </row>
    <row r="54" spans="3:17" x14ac:dyDescent="0.25">
      <c r="C54" t="str">
        <f t="shared" si="7"/>
        <v>821</v>
      </c>
      <c r="D54" t="s">
        <v>385</v>
      </c>
      <c r="E54" t="s">
        <v>390</v>
      </c>
      <c r="F54" t="s">
        <v>391</v>
      </c>
      <c r="G54" t="str">
        <f t="shared" si="8"/>
        <v>05.4.1</v>
      </c>
      <c r="H54" t="str">
        <f t="shared" si="6"/>
        <v>0</v>
      </c>
      <c r="J54" t="str">
        <f t="shared" si="9"/>
        <v>5.4.1</v>
      </c>
      <c r="L54" t="str">
        <f t="shared" si="11"/>
        <v>uždavinys</v>
      </c>
      <c r="M54" t="s">
        <v>217</v>
      </c>
      <c r="P54" t="s">
        <v>392</v>
      </c>
      <c r="Q54" t="s">
        <v>393</v>
      </c>
    </row>
    <row r="55" spans="3:17" x14ac:dyDescent="0.25">
      <c r="C55" t="str">
        <f t="shared" si="7"/>
        <v>000</v>
      </c>
      <c r="D55" t="s">
        <v>385</v>
      </c>
      <c r="E55" t="s">
        <v>244</v>
      </c>
      <c r="G55" t="str">
        <f t="shared" si="8"/>
        <v>Nenuma</v>
      </c>
      <c r="H55" t="str">
        <f t="shared" ref="H55:H70" si="12">LEFT(E55,1)</f>
        <v>N</v>
      </c>
      <c r="J55" t="str">
        <f t="shared" si="9"/>
        <v>–</v>
      </c>
      <c r="L55" t="str">
        <f t="shared" si="11"/>
        <v/>
      </c>
      <c r="M55" t="s">
        <v>217</v>
      </c>
      <c r="P55" t="s">
        <v>394</v>
      </c>
      <c r="Q55" t="s">
        <v>395</v>
      </c>
    </row>
    <row r="56" spans="3:17" x14ac:dyDescent="0.25">
      <c r="C56" t="str">
        <f t="shared" si="7"/>
        <v>000</v>
      </c>
      <c r="D56" t="s">
        <v>385</v>
      </c>
      <c r="E56" s="26" t="str">
        <f>IF('1_punktas'!E67&lt;&gt;0,'1_punktas'!E67,"Kita (įrašykite D stulpelyje ir pasirinkite)")</f>
        <v>Kita (įrašykite D stulpelyje ir pasirinkite)</v>
      </c>
      <c r="G56" t="str">
        <f t="shared" si="8"/>
        <v>Kita (</v>
      </c>
      <c r="H56" t="str">
        <f t="shared" si="12"/>
        <v>K</v>
      </c>
      <c r="J56" t="str">
        <f t="shared" si="9"/>
        <v>–</v>
      </c>
      <c r="L56" t="str">
        <f t="shared" ref="L56:L70" si="13">IF(J56&lt;&gt;"–",M56,"")</f>
        <v/>
      </c>
      <c r="M56" t="s">
        <v>217</v>
      </c>
      <c r="P56" t="s">
        <v>396</v>
      </c>
      <c r="Q56" t="s">
        <v>397</v>
      </c>
    </row>
    <row r="57" spans="3:17" x14ac:dyDescent="0.25">
      <c r="C57" t="str">
        <f t="shared" si="7"/>
        <v>902</v>
      </c>
      <c r="D57" s="29" t="s">
        <v>398</v>
      </c>
      <c r="E57" s="29" t="s">
        <v>399</v>
      </c>
      <c r="F57" s="29"/>
      <c r="G57" t="str">
        <f t="shared" si="8"/>
        <v>07.1.1</v>
      </c>
      <c r="H57" s="29" t="str">
        <f t="shared" ref="H57:H59" si="14">LEFT(E58,1)</f>
        <v>0</v>
      </c>
      <c r="I57" s="29"/>
      <c r="J57" t="str">
        <f t="shared" si="9"/>
        <v>7.1.1</v>
      </c>
      <c r="K57" s="29"/>
      <c r="L57" t="str">
        <f t="shared" si="13"/>
        <v>uždavinys</v>
      </c>
      <c r="M57" s="29" t="s">
        <v>217</v>
      </c>
      <c r="P57" t="s">
        <v>400</v>
      </c>
      <c r="Q57" t="s">
        <v>401</v>
      </c>
    </row>
    <row r="58" spans="3:17" x14ac:dyDescent="0.25">
      <c r="C58" t="str">
        <f t="shared" si="7"/>
        <v>903</v>
      </c>
      <c r="D58" t="s">
        <v>398</v>
      </c>
      <c r="E58" t="s">
        <v>402</v>
      </c>
      <c r="G58" t="str">
        <f t="shared" si="8"/>
        <v>07.1.1</v>
      </c>
      <c r="H58" t="str">
        <f t="shared" si="14"/>
        <v>0</v>
      </c>
      <c r="J58" t="str">
        <f t="shared" si="9"/>
        <v>7.1.1</v>
      </c>
      <c r="L58" t="str">
        <f t="shared" si="13"/>
        <v>uždavinys</v>
      </c>
      <c r="M58" t="s">
        <v>217</v>
      </c>
      <c r="P58" t="s">
        <v>403</v>
      </c>
      <c r="Q58" t="s">
        <v>404</v>
      </c>
    </row>
    <row r="59" spans="3:17" x14ac:dyDescent="0.25">
      <c r="C59" t="str">
        <f t="shared" si="7"/>
        <v>904</v>
      </c>
      <c r="D59" t="s">
        <v>398</v>
      </c>
      <c r="E59" t="s">
        <v>405</v>
      </c>
      <c r="G59" t="str">
        <f t="shared" si="8"/>
        <v>07.1.1</v>
      </c>
      <c r="H59" t="str">
        <f t="shared" si="14"/>
        <v>0</v>
      </c>
      <c r="J59" t="str">
        <f t="shared" si="9"/>
        <v>7.1.1</v>
      </c>
      <c r="L59" t="str">
        <f t="shared" si="13"/>
        <v>uždavinys</v>
      </c>
      <c r="M59" t="s">
        <v>217</v>
      </c>
      <c r="P59" t="s">
        <v>406</v>
      </c>
      <c r="Q59" t="s">
        <v>407</v>
      </c>
    </row>
    <row r="60" spans="3:17" x14ac:dyDescent="0.25">
      <c r="C60" t="str">
        <f t="shared" si="7"/>
        <v>905</v>
      </c>
      <c r="D60" t="s">
        <v>398</v>
      </c>
      <c r="E60" t="s">
        <v>408</v>
      </c>
      <c r="G60" t="str">
        <f t="shared" si="8"/>
        <v>07.1.1</v>
      </c>
      <c r="H60" t="str">
        <f t="shared" ref="H60:H61" si="15">LEFT(E61,1)</f>
        <v>0</v>
      </c>
      <c r="J60" t="str">
        <f t="shared" si="9"/>
        <v>7.1.1</v>
      </c>
      <c r="L60" t="str">
        <f t="shared" si="13"/>
        <v>uždavinys</v>
      </c>
      <c r="M60" t="s">
        <v>217</v>
      </c>
      <c r="P60" t="s">
        <v>409</v>
      </c>
      <c r="Q60" t="s">
        <v>410</v>
      </c>
    </row>
    <row r="61" spans="3:17" x14ac:dyDescent="0.25">
      <c r="C61" t="str">
        <f t="shared" si="7"/>
        <v>906</v>
      </c>
      <c r="D61" s="29" t="s">
        <v>398</v>
      </c>
      <c r="E61" s="29" t="s">
        <v>38</v>
      </c>
      <c r="F61" s="29"/>
      <c r="G61" t="str">
        <f t="shared" si="8"/>
        <v>07.1.1</v>
      </c>
      <c r="H61" s="29" t="str">
        <f t="shared" si="15"/>
        <v>0</v>
      </c>
      <c r="I61" s="29"/>
      <c r="J61" t="str">
        <f t="shared" si="9"/>
        <v>7.1.1</v>
      </c>
      <c r="K61" s="29"/>
      <c r="L61" t="str">
        <f t="shared" si="13"/>
        <v>uždavinys</v>
      </c>
      <c r="M61" t="s">
        <v>217</v>
      </c>
      <c r="P61" t="s">
        <v>411</v>
      </c>
      <c r="Q61" t="s">
        <v>412</v>
      </c>
    </row>
    <row r="62" spans="3:17" ht="14.25" customHeight="1" x14ac:dyDescent="0.25">
      <c r="C62" t="str">
        <f t="shared" si="7"/>
        <v>908</v>
      </c>
      <c r="D62" t="s">
        <v>398</v>
      </c>
      <c r="E62" t="s">
        <v>413</v>
      </c>
      <c r="G62" t="str">
        <f t="shared" si="8"/>
        <v>08.2.1</v>
      </c>
      <c r="H62" t="str">
        <f t="shared" si="12"/>
        <v>0</v>
      </c>
      <c r="J62" t="str">
        <f t="shared" si="9"/>
        <v>8.2.1</v>
      </c>
      <c r="L62" t="str">
        <f t="shared" si="13"/>
        <v>uždavinys</v>
      </c>
      <c r="M62" t="s">
        <v>217</v>
      </c>
      <c r="P62" t="s">
        <v>414</v>
      </c>
      <c r="Q62" t="s">
        <v>415</v>
      </c>
    </row>
    <row r="63" spans="3:17" x14ac:dyDescent="0.25">
      <c r="C63" t="str">
        <f t="shared" si="7"/>
        <v>920</v>
      </c>
      <c r="D63" t="s">
        <v>398</v>
      </c>
      <c r="E63" t="s">
        <v>416</v>
      </c>
      <c r="G63" t="str">
        <f t="shared" si="8"/>
        <v>10.1.3</v>
      </c>
      <c r="H63" t="str">
        <f t="shared" si="12"/>
        <v>1</v>
      </c>
      <c r="J63" t="str">
        <f t="shared" si="9"/>
        <v>10.1.3</v>
      </c>
      <c r="L63" t="str">
        <f t="shared" si="13"/>
        <v>uždavinys</v>
      </c>
      <c r="M63" t="s">
        <v>217</v>
      </c>
      <c r="P63" t="s">
        <v>417</v>
      </c>
      <c r="Q63" t="s">
        <v>418</v>
      </c>
    </row>
    <row r="64" spans="3:17" x14ac:dyDescent="0.25">
      <c r="C64" t="str">
        <f t="shared" si="7"/>
        <v>000</v>
      </c>
      <c r="D64" t="s">
        <v>398</v>
      </c>
      <c r="E64" t="s">
        <v>244</v>
      </c>
      <c r="G64" t="str">
        <f t="shared" si="8"/>
        <v>Nenuma</v>
      </c>
      <c r="H64" t="str">
        <f t="shared" si="12"/>
        <v>N</v>
      </c>
      <c r="J64" t="str">
        <f t="shared" si="9"/>
        <v>–</v>
      </c>
      <c r="L64" t="str">
        <f t="shared" si="13"/>
        <v/>
      </c>
      <c r="M64" t="s">
        <v>217</v>
      </c>
      <c r="P64" t="s">
        <v>419</v>
      </c>
      <c r="Q64" t="s">
        <v>420</v>
      </c>
    </row>
    <row r="65" spans="3:17" x14ac:dyDescent="0.25">
      <c r="C65" t="str">
        <f t="shared" si="7"/>
        <v>000</v>
      </c>
      <c r="D65" t="s">
        <v>398</v>
      </c>
      <c r="E65" s="26" t="str">
        <f>IF('1_punktas'!E67&lt;&gt;0,'1_punktas'!E67,"Kita (įrašykite D stulpelyje ir pasirinkite)")</f>
        <v>Kita (įrašykite D stulpelyje ir pasirinkite)</v>
      </c>
      <c r="G65" t="str">
        <f t="shared" si="8"/>
        <v>Kita (</v>
      </c>
      <c r="H65" t="str">
        <f t="shared" si="12"/>
        <v>K</v>
      </c>
      <c r="J65" t="str">
        <f t="shared" si="9"/>
        <v>–</v>
      </c>
      <c r="L65" t="str">
        <f t="shared" si="13"/>
        <v/>
      </c>
      <c r="M65" t="s">
        <v>217</v>
      </c>
      <c r="P65" t="s">
        <v>421</v>
      </c>
      <c r="Q65" t="s">
        <v>422</v>
      </c>
    </row>
    <row r="66" spans="3:17" x14ac:dyDescent="0.25">
      <c r="C66" t="str">
        <f t="shared" ref="C66:C67" si="16">LEFT(E66,3)</f>
        <v>M07</v>
      </c>
      <c r="D66" t="s">
        <v>423</v>
      </c>
      <c r="E66" t="s">
        <v>424</v>
      </c>
      <c r="G66" t="str">
        <f t="shared" si="8"/>
        <v>M07-7.</v>
      </c>
      <c r="H66" t="str">
        <f t="shared" si="12"/>
        <v>M</v>
      </c>
      <c r="J66" t="str">
        <f t="shared" si="9"/>
        <v>–</v>
      </c>
      <c r="L66" t="str">
        <f t="shared" si="13"/>
        <v/>
      </c>
      <c r="M66" t="s">
        <v>217</v>
      </c>
      <c r="P66" t="s">
        <v>425</v>
      </c>
      <c r="Q66" t="s">
        <v>426</v>
      </c>
    </row>
    <row r="67" spans="3:17" x14ac:dyDescent="0.25">
      <c r="C67" t="str">
        <f t="shared" si="16"/>
        <v>M07</v>
      </c>
      <c r="D67" t="s">
        <v>423</v>
      </c>
      <c r="E67" t="s">
        <v>427</v>
      </c>
      <c r="G67" t="str">
        <f t="shared" si="8"/>
        <v>M07-7.</v>
      </c>
      <c r="H67" t="str">
        <f t="shared" si="12"/>
        <v>M</v>
      </c>
      <c r="J67" t="str">
        <f t="shared" si="9"/>
        <v>–</v>
      </c>
      <c r="L67" t="str">
        <f t="shared" si="13"/>
        <v/>
      </c>
      <c r="M67" t="s">
        <v>217</v>
      </c>
    </row>
    <row r="68" spans="3:17" x14ac:dyDescent="0.25">
      <c r="C68" t="str">
        <f>IF(LEN(J68)&gt;4,RIGHT(E68,3),"000")</f>
        <v>000</v>
      </c>
      <c r="D68" t="s">
        <v>423</v>
      </c>
      <c r="E68" t="s">
        <v>244</v>
      </c>
      <c r="G68" t="str">
        <f t="shared" si="8"/>
        <v>Nenuma</v>
      </c>
      <c r="H68" t="str">
        <f t="shared" si="12"/>
        <v>N</v>
      </c>
      <c r="J68" t="str">
        <f t="shared" si="9"/>
        <v>–</v>
      </c>
      <c r="L68" t="str">
        <f t="shared" si="13"/>
        <v/>
      </c>
      <c r="M68" t="s">
        <v>217</v>
      </c>
    </row>
    <row r="69" spans="3:17" x14ac:dyDescent="0.25">
      <c r="C69" t="str">
        <f t="shared" ref="C69:C70" si="17">IF(LEN(J69)&gt;4,RIGHT(E69,3),"000")</f>
        <v>000</v>
      </c>
      <c r="D69" t="s">
        <v>423</v>
      </c>
      <c r="E69" s="26" t="str">
        <f>IF('1_punktas'!E67&lt;&gt;0,'1_punktas'!E67,"Kita (įrašykite D stulpelyje ir pasirinkite)")</f>
        <v>Kita (įrašykite D stulpelyje ir pasirinkite)</v>
      </c>
      <c r="G69" t="str">
        <f t="shared" si="8"/>
        <v>Kita (</v>
      </c>
      <c r="H69" t="str">
        <f t="shared" si="12"/>
        <v>K</v>
      </c>
      <c r="J69" t="str">
        <f t="shared" si="9"/>
        <v>–</v>
      </c>
      <c r="L69" t="str">
        <f t="shared" si="13"/>
        <v/>
      </c>
      <c r="M69" t="s">
        <v>217</v>
      </c>
    </row>
    <row r="70" spans="3:17" x14ac:dyDescent="0.25">
      <c r="C70" t="str">
        <f t="shared" si="17"/>
        <v>000</v>
      </c>
      <c r="D70" t="s">
        <v>40</v>
      </c>
      <c r="E70" t="s">
        <v>244</v>
      </c>
      <c r="G70" t="str">
        <f t="shared" si="8"/>
        <v>Nenuma</v>
      </c>
      <c r="H70" t="str">
        <f t="shared" si="12"/>
        <v>N</v>
      </c>
      <c r="J70" t="str">
        <f t="shared" si="9"/>
        <v>–</v>
      </c>
      <c r="L70" t="str">
        <f t="shared" si="13"/>
        <v/>
      </c>
      <c r="M70" t="s">
        <v>217</v>
      </c>
    </row>
    <row r="71" spans="3:17" x14ac:dyDescent="0.25">
      <c r="D71">
        <f>'1_punktas'!E65</f>
        <v>0</v>
      </c>
      <c r="E71" t="s">
        <v>244</v>
      </c>
      <c r="G71" t="str">
        <f t="shared" si="8"/>
        <v>Nenuma</v>
      </c>
    </row>
    <row r="73" spans="3:17" x14ac:dyDescent="0.25">
      <c r="C73" s="3" t="s">
        <v>428</v>
      </c>
      <c r="D73" s="3" t="s">
        <v>214</v>
      </c>
      <c r="E73" s="32">
        <v>0</v>
      </c>
      <c r="F73" s="33" t="str">
        <f>MID('1_punktas'!D17,4,1)</f>
        <v/>
      </c>
      <c r="G73" t="str">
        <f>TRIM(E73:E84)</f>
        <v>0</v>
      </c>
      <c r="H73" t="str">
        <f>TRIM(F73)</f>
        <v/>
      </c>
      <c r="I73" t="e">
        <f>MATCH(H73,G73:G84,1)</f>
        <v>#N/A</v>
      </c>
      <c r="J73" s="3" t="s">
        <v>428</v>
      </c>
    </row>
    <row r="74" spans="3:17" x14ac:dyDescent="0.25">
      <c r="C74" s="3" t="s">
        <v>429</v>
      </c>
      <c r="D74" s="3" t="s">
        <v>251</v>
      </c>
      <c r="E74" s="32">
        <v>1</v>
      </c>
      <c r="F74" s="24"/>
      <c r="G74" t="str">
        <f t="shared" ref="G74:G84" si="18">TRIM(E74:E85)</f>
        <v>1</v>
      </c>
      <c r="J74" s="3" t="s">
        <v>429</v>
      </c>
    </row>
    <row r="75" spans="3:17" x14ac:dyDescent="0.25">
      <c r="C75" s="3" t="s">
        <v>430</v>
      </c>
      <c r="D75" s="3" t="s">
        <v>256</v>
      </c>
      <c r="E75" s="32">
        <v>3</v>
      </c>
      <c r="F75" s="24"/>
      <c r="G75" t="str">
        <f t="shared" si="18"/>
        <v>3</v>
      </c>
      <c r="J75" s="3" t="s">
        <v>430</v>
      </c>
    </row>
    <row r="76" spans="3:17" x14ac:dyDescent="0.25">
      <c r="C76" s="3" t="s">
        <v>431</v>
      </c>
      <c r="D76" s="3" t="s">
        <v>281</v>
      </c>
      <c r="E76" s="32">
        <v>4</v>
      </c>
      <c r="F76" s="24"/>
      <c r="G76" t="str">
        <f t="shared" si="18"/>
        <v>4</v>
      </c>
      <c r="J76" s="3" t="s">
        <v>431</v>
      </c>
    </row>
    <row r="77" spans="3:17" x14ac:dyDescent="0.25">
      <c r="C77" s="3" t="s">
        <v>432</v>
      </c>
      <c r="D77" s="3" t="s">
        <v>298</v>
      </c>
      <c r="E77" s="32">
        <v>5</v>
      </c>
      <c r="F77" s="24"/>
      <c r="G77" t="str">
        <f t="shared" si="18"/>
        <v>5</v>
      </c>
      <c r="J77" s="3" t="s">
        <v>432</v>
      </c>
    </row>
    <row r="78" spans="3:17" x14ac:dyDescent="0.25">
      <c r="C78" s="3" t="s">
        <v>433</v>
      </c>
      <c r="D78" s="3" t="s">
        <v>347</v>
      </c>
      <c r="E78" s="32">
        <v>6</v>
      </c>
      <c r="F78" s="24"/>
      <c r="G78" t="str">
        <f t="shared" si="18"/>
        <v>6</v>
      </c>
      <c r="J78" s="3" t="s">
        <v>433</v>
      </c>
    </row>
    <row r="79" spans="3:17" x14ac:dyDescent="0.25">
      <c r="C79" s="3" t="s">
        <v>434</v>
      </c>
      <c r="D79" s="3" t="s">
        <v>364</v>
      </c>
      <c r="E79" s="32">
        <v>7</v>
      </c>
      <c r="F79" s="24"/>
      <c r="G79" t="str">
        <f t="shared" si="18"/>
        <v>7</v>
      </c>
      <c r="J79" s="3" t="s">
        <v>434</v>
      </c>
    </row>
    <row r="80" spans="3:17" x14ac:dyDescent="0.25">
      <c r="C80" s="3" t="s">
        <v>435</v>
      </c>
      <c r="D80" s="3" t="s">
        <v>385</v>
      </c>
      <c r="E80" s="32">
        <v>8</v>
      </c>
      <c r="F80" s="24"/>
      <c r="G80" t="str">
        <f t="shared" si="18"/>
        <v>8</v>
      </c>
      <c r="J80" s="3" t="s">
        <v>435</v>
      </c>
    </row>
    <row r="81" spans="1:17" x14ac:dyDescent="0.25">
      <c r="C81" s="3" t="s">
        <v>36</v>
      </c>
      <c r="D81" s="3" t="s">
        <v>398</v>
      </c>
      <c r="E81" s="32">
        <v>9</v>
      </c>
      <c r="F81" s="24"/>
      <c r="G81" t="str">
        <f t="shared" si="18"/>
        <v>9</v>
      </c>
      <c r="J81" s="3" t="s">
        <v>36</v>
      </c>
    </row>
    <row r="82" spans="1:17" x14ac:dyDescent="0.25">
      <c r="C82" s="3" t="s">
        <v>436</v>
      </c>
      <c r="D82" s="3" t="s">
        <v>423</v>
      </c>
      <c r="E82" s="32" t="s">
        <v>942</v>
      </c>
      <c r="F82" s="24"/>
      <c r="G82" t="str">
        <f t="shared" si="18"/>
        <v>Z</v>
      </c>
      <c r="J82" s="3" t="s">
        <v>436</v>
      </c>
    </row>
    <row r="83" spans="1:17" x14ac:dyDescent="0.25">
      <c r="C83" t="s">
        <v>40</v>
      </c>
      <c r="D83" t="s">
        <v>40</v>
      </c>
      <c r="E83" s="32" t="s">
        <v>437</v>
      </c>
      <c r="F83" s="24"/>
      <c r="G83" t="str">
        <f t="shared" si="18"/>
        <v>B</v>
      </c>
      <c r="J83" t="s">
        <v>40</v>
      </c>
    </row>
    <row r="84" spans="1:17" x14ac:dyDescent="0.25">
      <c r="E84" s="32" t="s">
        <v>438</v>
      </c>
      <c r="F84" s="24"/>
      <c r="G84" t="str">
        <f t="shared" si="18"/>
        <v>C</v>
      </c>
      <c r="L84" s="34"/>
    </row>
    <row r="85" spans="1:17" x14ac:dyDescent="0.25">
      <c r="C85" t="s">
        <v>439</v>
      </c>
      <c r="Q85" s="36"/>
    </row>
    <row r="86" spans="1:17" x14ac:dyDescent="0.25">
      <c r="C86" t="s">
        <v>440</v>
      </c>
      <c r="Q86" s="36"/>
    </row>
    <row r="90" spans="1:17" x14ac:dyDescent="0.25">
      <c r="A90" s="243" t="s">
        <v>441</v>
      </c>
      <c r="C90" t="s">
        <v>442</v>
      </c>
      <c r="D90" t="s">
        <v>443</v>
      </c>
      <c r="E90" t="s">
        <v>40</v>
      </c>
      <c r="G90" s="243" t="s">
        <v>441</v>
      </c>
    </row>
    <row r="91" spans="1:17" x14ac:dyDescent="0.25">
      <c r="C91" t="s">
        <v>444</v>
      </c>
      <c r="D91" t="s">
        <v>445</v>
      </c>
      <c r="E91" t="s">
        <v>446</v>
      </c>
      <c r="F91" t="s">
        <v>40</v>
      </c>
      <c r="G91" s="243" t="s">
        <v>447</v>
      </c>
    </row>
    <row r="92" spans="1:17" x14ac:dyDescent="0.25">
      <c r="C92" t="s">
        <v>1</v>
      </c>
      <c r="D92" t="s">
        <v>448</v>
      </c>
      <c r="E92" t="s">
        <v>4</v>
      </c>
      <c r="F92" t="s">
        <v>40</v>
      </c>
      <c r="G92" s="243" t="s">
        <v>449</v>
      </c>
    </row>
    <row r="93" spans="1:17" x14ac:dyDescent="0.25">
      <c r="C93" t="s">
        <v>450</v>
      </c>
      <c r="D93" t="s">
        <v>451</v>
      </c>
      <c r="E93" t="s">
        <v>40</v>
      </c>
      <c r="G93" s="243" t="s">
        <v>452</v>
      </c>
    </row>
    <row r="94" spans="1:17" x14ac:dyDescent="0.25">
      <c r="C94" t="s">
        <v>453</v>
      </c>
      <c r="D94" t="s">
        <v>454</v>
      </c>
      <c r="E94" t="s">
        <v>455</v>
      </c>
      <c r="F94" t="s">
        <v>40</v>
      </c>
      <c r="G94" s="243" t="s">
        <v>456</v>
      </c>
    </row>
    <row r="95" spans="1:17" x14ac:dyDescent="0.25">
      <c r="C95" t="s">
        <v>457</v>
      </c>
      <c r="D95" t="s">
        <v>458</v>
      </c>
      <c r="E95" t="s">
        <v>459</v>
      </c>
      <c r="F95" t="s">
        <v>40</v>
      </c>
      <c r="G95" s="243" t="s">
        <v>460</v>
      </c>
    </row>
    <row r="96" spans="1:17" x14ac:dyDescent="0.25">
      <c r="C96" t="s">
        <v>461</v>
      </c>
      <c r="D96" t="s">
        <v>462</v>
      </c>
      <c r="E96" t="s">
        <v>40</v>
      </c>
      <c r="G96" s="243" t="s">
        <v>463</v>
      </c>
    </row>
    <row r="97" spans="3:7" x14ac:dyDescent="0.25">
      <c r="C97" t="s">
        <v>464</v>
      </c>
      <c r="D97" t="s">
        <v>465</v>
      </c>
      <c r="E97" t="s">
        <v>40</v>
      </c>
      <c r="G97" s="243" t="s">
        <v>466</v>
      </c>
    </row>
    <row r="98" spans="3:7" x14ac:dyDescent="0.25">
      <c r="C98" t="s">
        <v>467</v>
      </c>
      <c r="D98" t="s">
        <v>468</v>
      </c>
      <c r="E98" t="s">
        <v>40</v>
      </c>
      <c r="G98" s="243" t="s">
        <v>469</v>
      </c>
    </row>
    <row r="99" spans="3:7" x14ac:dyDescent="0.25">
      <c r="C99" t="s">
        <v>470</v>
      </c>
      <c r="D99" t="s">
        <v>471</v>
      </c>
      <c r="E99" t="s">
        <v>472</v>
      </c>
      <c r="F99" t="s">
        <v>40</v>
      </c>
      <c r="G99" s="243" t="s">
        <v>473</v>
      </c>
    </row>
    <row r="104" spans="3:7" x14ac:dyDescent="0.25">
      <c r="C104" t="s">
        <v>39</v>
      </c>
      <c r="D104" t="s">
        <v>428</v>
      </c>
      <c r="E104" t="str">
        <f>D104&amp;"V"</f>
        <v>AMV</v>
      </c>
    </row>
    <row r="105" spans="3:7" x14ac:dyDescent="0.25">
      <c r="C105" t="s">
        <v>474</v>
      </c>
      <c r="D105" t="s">
        <v>429</v>
      </c>
      <c r="E105" t="str">
        <f t="shared" ref="E105:E114" si="19">D105&amp;"V"</f>
        <v>EMV</v>
      </c>
    </row>
    <row r="106" spans="3:7" x14ac:dyDescent="0.25">
      <c r="C106" t="s">
        <v>40</v>
      </c>
      <c r="D106" t="s">
        <v>430</v>
      </c>
      <c r="E106" t="str">
        <f t="shared" si="19"/>
        <v>KMV</v>
      </c>
    </row>
    <row r="107" spans="3:7" x14ac:dyDescent="0.25">
      <c r="D107" t="s">
        <v>431</v>
      </c>
      <c r="E107" t="str">
        <f t="shared" si="19"/>
        <v>SADMV</v>
      </c>
    </row>
    <row r="108" spans="3:7" x14ac:dyDescent="0.25">
      <c r="D108" t="s">
        <v>432</v>
      </c>
      <c r="E108" t="str">
        <f t="shared" si="19"/>
        <v>SMV</v>
      </c>
    </row>
    <row r="109" spans="3:7" x14ac:dyDescent="0.25">
      <c r="D109" t="s">
        <v>433</v>
      </c>
      <c r="E109" t="str">
        <f t="shared" si="19"/>
        <v>SAMV</v>
      </c>
    </row>
    <row r="110" spans="3:7" x14ac:dyDescent="0.25">
      <c r="D110" t="s">
        <v>434</v>
      </c>
      <c r="E110" t="str">
        <f t="shared" si="19"/>
        <v>ŠMMV</v>
      </c>
    </row>
    <row r="111" spans="3:7" x14ac:dyDescent="0.25">
      <c r="C111" t="s">
        <v>40</v>
      </c>
      <c r="D111" t="s">
        <v>435</v>
      </c>
      <c r="E111" t="str">
        <f t="shared" si="19"/>
        <v>ŪMV</v>
      </c>
    </row>
    <row r="112" spans="3:7" x14ac:dyDescent="0.25">
      <c r="C112" t="s">
        <v>475</v>
      </c>
      <c r="D112" t="s">
        <v>36</v>
      </c>
      <c r="E112" t="str">
        <f t="shared" si="19"/>
        <v>VRMV</v>
      </c>
    </row>
    <row r="113" spans="1:9" x14ac:dyDescent="0.25">
      <c r="C113" t="s">
        <v>111</v>
      </c>
      <c r="D113" t="s">
        <v>436</v>
      </c>
      <c r="E113" t="str">
        <f t="shared" si="19"/>
        <v>ŽŪMV</v>
      </c>
    </row>
    <row r="114" spans="1:9" x14ac:dyDescent="0.25">
      <c r="C114" t="s">
        <v>110</v>
      </c>
      <c r="D114" t="s">
        <v>40</v>
      </c>
      <c r="E114" t="str">
        <f t="shared" si="19"/>
        <v>–V</v>
      </c>
    </row>
    <row r="115" spans="1:9" x14ac:dyDescent="0.25">
      <c r="D115" s="15"/>
    </row>
    <row r="118" spans="1:9" x14ac:dyDescent="0.25">
      <c r="C118" t="s">
        <v>40</v>
      </c>
    </row>
    <row r="119" spans="1:9" x14ac:dyDescent="0.25">
      <c r="C119" t="s">
        <v>112</v>
      </c>
    </row>
    <row r="120" spans="1:9" x14ac:dyDescent="0.25">
      <c r="I120" t="s">
        <v>476</v>
      </c>
    </row>
    <row r="123" spans="1:9" x14ac:dyDescent="0.25">
      <c r="I123" t="s">
        <v>152</v>
      </c>
    </row>
    <row r="124" spans="1:9" x14ac:dyDescent="0.25">
      <c r="A124">
        <v>1</v>
      </c>
      <c r="C124" t="str">
        <f>IF('1_punktas'!D68="R","Pakanka nesuplanuoto regiono lėšų limito priemonei "&amp;'1_punktas'!D67,"")</f>
        <v/>
      </c>
      <c r="E124" t="b">
        <f t="shared" ref="E124:E129" si="20">IF(LEN(C124)&gt;1,TRUE,FALSE)</f>
        <v>0</v>
      </c>
      <c r="F124" t="str">
        <f t="shared" ref="F124:F129" si="21">IF(E124,A124,"")</f>
        <v/>
      </c>
      <c r="H124">
        <f t="shared" ref="H124:H129" si="22">IF(LEN(I124)&gt;0,A124,"")</f>
        <v>1</v>
      </c>
      <c r="I124" s="35" t="str">
        <f>IFERROR(INDEX($C$124:$C$129,SMALL($F$124:$F$129,1)),"")</f>
        <v>Reikalingų papildomų lėšų šaltinis nežinomas</v>
      </c>
    </row>
    <row r="125" spans="1:9" x14ac:dyDescent="0.25">
      <c r="A125">
        <v>2</v>
      </c>
      <c r="C125" t="str">
        <f>IF('1_punktas'!D68="R","Nesuplanuoto regiono lėšų limito pakaks pakeitus (išbraukus) kitą priemonei "&amp;'1_punktas'!D67&amp;" priskirtą projektą (pridėtas pasiūlymas)","")</f>
        <v/>
      </c>
      <c r="E125" t="b">
        <f t="shared" si="20"/>
        <v>0</v>
      </c>
      <c r="F125" t="str">
        <f t="shared" si="21"/>
        <v/>
      </c>
      <c r="H125" t="str">
        <f t="shared" si="22"/>
        <v/>
      </c>
      <c r="I125" s="35" t="str">
        <f>IFERROR(INDEX($C$124:$C$129,SMALL($F$124:$F$129,2)),"")</f>
        <v/>
      </c>
    </row>
    <row r="126" spans="1:9" x14ac:dyDescent="0.25">
      <c r="A126">
        <v>3</v>
      </c>
      <c r="C126" t="str">
        <f>IF(LEN('1_punktas'!D65)+LEN('1_punktas'!E65)&gt;1,"Papildomų lėšų skyrimą numatoma derinti su "&amp;IF(LEN('1_punktas'!D65)&lt;2,'1_punktas'!E65,'1_punktas'!D65),"")</f>
        <v/>
      </c>
      <c r="E126" t="b">
        <f t="shared" si="20"/>
        <v>0</v>
      </c>
      <c r="F126" t="str">
        <f t="shared" si="21"/>
        <v/>
      </c>
      <c r="H126" t="str">
        <f t="shared" si="22"/>
        <v/>
      </c>
      <c r="I126" s="35" t="str">
        <f>IFERROR(INDEX($C$124:$C$129,SMALL($F$124:$F$129,3)),"")</f>
        <v/>
      </c>
    </row>
    <row r="127" spans="1:9" x14ac:dyDescent="0.25">
      <c r="A127">
        <v>4</v>
      </c>
      <c r="C127" t="str">
        <f>IF(LEN('1_punktas'!D65)+LEN('1_punktas'!E65)&gt;1,"Papildomų lėšų skyrimas suderintas su "&amp;IF(LEN('1_punktas'!D65)&lt;2,'1_punktas'!E65,'1_punktas'!D65)&amp;" (pridėta rašto kopija arba nuoroda į teisės aktą)","")</f>
        <v/>
      </c>
      <c r="E127" t="b">
        <f t="shared" si="20"/>
        <v>0</v>
      </c>
      <c r="F127" t="str">
        <f t="shared" si="21"/>
        <v/>
      </c>
      <c r="H127" t="str">
        <f t="shared" si="22"/>
        <v/>
      </c>
      <c r="I127" s="35" t="str">
        <f>IFERROR(INDEX($C$124:$C$129,SMALL($F$124:$F$129,4)),"")</f>
        <v/>
      </c>
    </row>
    <row r="128" spans="1:9" x14ac:dyDescent="0.25">
      <c r="A128">
        <v>5</v>
      </c>
      <c r="C128" s="3" t="str">
        <f>IF(LEN('RPD ivedimas'!D8)&gt;3,"Siūlomi pakeitimai atitinka faktiškai sudarytą (pakeistą) projekto "&amp;'RPD ivedimas'!D8&amp;" finansavimo sutartį","")</f>
        <v/>
      </c>
      <c r="E128" t="b">
        <f t="shared" si="20"/>
        <v>0</v>
      </c>
      <c r="F128" t="str">
        <f t="shared" si="21"/>
        <v/>
      </c>
      <c r="H128" t="str">
        <f t="shared" si="22"/>
        <v/>
      </c>
      <c r="I128" s="35" t="str">
        <f>IFERROR(INDEX($C$124:$C$129,SMALL($F$124:$F$129,5)),"")</f>
        <v/>
      </c>
    </row>
    <row r="129" spans="1:9" x14ac:dyDescent="0.25">
      <c r="A129">
        <v>6</v>
      </c>
      <c r="C129" s="3" t="s">
        <v>477</v>
      </c>
      <c r="E129" t="b">
        <f t="shared" si="20"/>
        <v>1</v>
      </c>
      <c r="F129">
        <f t="shared" si="21"/>
        <v>6</v>
      </c>
      <c r="H129" t="str">
        <f t="shared" si="22"/>
        <v/>
      </c>
      <c r="I129" s="35" t="str">
        <f>IFERROR(INDEX($C$124:$C$129,SMALL($F$124:$F$129,6)),"")</f>
        <v/>
      </c>
    </row>
    <row r="131" spans="1:9" x14ac:dyDescent="0.25">
      <c r="C131" t="s">
        <v>478</v>
      </c>
    </row>
    <row r="132" spans="1:9" x14ac:dyDescent="0.25">
      <c r="C132" t="s">
        <v>6</v>
      </c>
    </row>
    <row r="133" spans="1:9" x14ac:dyDescent="0.25">
      <c r="C133" t="s">
        <v>479</v>
      </c>
    </row>
    <row r="135" spans="1:9" x14ac:dyDescent="0.25">
      <c r="C135" t="s">
        <v>480</v>
      </c>
      <c r="D135" t="s">
        <v>481</v>
      </c>
      <c r="E135" t="s">
        <v>482</v>
      </c>
    </row>
    <row r="136" spans="1:9" x14ac:dyDescent="0.25">
      <c r="C136" t="s">
        <v>12</v>
      </c>
      <c r="D136" t="s">
        <v>80</v>
      </c>
      <c r="E136" t="s">
        <v>147</v>
      </c>
    </row>
    <row r="137" spans="1:9" x14ac:dyDescent="0.25">
      <c r="C137" t="s">
        <v>483</v>
      </c>
      <c r="D137" t="s">
        <v>484</v>
      </c>
      <c r="E137" t="s">
        <v>485</v>
      </c>
    </row>
    <row r="140" spans="1:9" x14ac:dyDescent="0.25">
      <c r="C140" t="s">
        <v>165</v>
      </c>
    </row>
    <row r="141" spans="1:9" x14ac:dyDescent="0.25">
      <c r="C141" t="s">
        <v>90</v>
      </c>
    </row>
    <row r="143" spans="1:9" x14ac:dyDescent="0.25">
      <c r="I143" t="s">
        <v>155</v>
      </c>
    </row>
    <row r="144" spans="1:9" x14ac:dyDescent="0.25">
      <c r="A144">
        <v>1</v>
      </c>
      <c r="C144" t="str">
        <f>IF('1_punktas'!D68="R","Priemonės "&amp;'1_punktas'!D67&amp;" regionui nustatyti sutarčių sudarymo ir išmokėjimo plano rodikliai pasiekiami ir pakeitus projektą","")</f>
        <v/>
      </c>
      <c r="E144" t="b">
        <f t="shared" ref="E144:E149" si="23">IF(LEN(C144)&gt;1,TRUE,FALSE)</f>
        <v>0</v>
      </c>
      <c r="F144" t="str">
        <f t="shared" ref="F144:F149" si="24">IF(E144,A144,"")</f>
        <v/>
      </c>
      <c r="H144" t="str">
        <f t="shared" ref="H144:H149" si="25">IF(LEN(I144)&gt;0,A144,"")</f>
        <v/>
      </c>
      <c r="I144" s="35" t="str">
        <f>IFERROR(INDEX($C$144:$C$149,SMALL($F$144:$F$149,1)),"")</f>
        <v/>
      </c>
    </row>
    <row r="145" spans="1:9" x14ac:dyDescent="0.25">
      <c r="A145">
        <v>2</v>
      </c>
      <c r="C145" t="str">
        <f>IF('1_punktas'!D68="R","Priemonės "&amp;'1_punktas'!D67&amp;" regionui nustatyti sutarčių sudarymo ir išmokėjimo plano rodikliai bus pasiekti pakeitus (įrašius) kitą projektą (pridėtas pasiūlymas)","")</f>
        <v/>
      </c>
      <c r="E145" t="b">
        <f t="shared" si="23"/>
        <v>0</v>
      </c>
      <c r="F145" t="str">
        <f t="shared" si="24"/>
        <v/>
      </c>
      <c r="H145" t="str">
        <f t="shared" si="25"/>
        <v/>
      </c>
      <c r="I145" s="35" t="str">
        <f>IFERROR(INDEX($C$144:$C$149,SMALL($F$144:$F$149,2)),"")</f>
        <v/>
      </c>
    </row>
    <row r="146" spans="1:9" x14ac:dyDescent="0.25">
      <c r="A146">
        <v>3</v>
      </c>
      <c r="C146" t="str">
        <f>IF(LEN('1_punktas'!D65)+LEN('1_punktas'!E65)&gt;1,"Planuojamus mažesnius įsipareigojimus numatoma derinti su "&amp;IF(LEN('1_punktas'!D65)&lt;2,'1_punktas'!E65,'1_punktas'!D65),"")</f>
        <v/>
      </c>
      <c r="E146" t="b">
        <f t="shared" si="23"/>
        <v>0</v>
      </c>
      <c r="F146" t="str">
        <f t="shared" si="24"/>
        <v/>
      </c>
      <c r="H146" t="str">
        <f t="shared" si="25"/>
        <v/>
      </c>
      <c r="I146" s="35" t="str">
        <f>IFERROR(INDEX($C$144:$C$149,SMALL($F$144:$F$149,3)),"")</f>
        <v/>
      </c>
    </row>
    <row r="147" spans="1:9" x14ac:dyDescent="0.25">
      <c r="A147">
        <v>4</v>
      </c>
      <c r="C147" t="str">
        <f>IF(LEN('1_punktas'!D65)+LEN('1_punktas'!E65)&gt;1,"Planuojami mažesni įsipareigojimai suderinti su "&amp;IF(LEN('1_punktas'!D65)&lt;2,'1_punktas'!E65,'1_punktas'!D65)&amp;" (pridėta rašto kopija arba nuoroda į teisės aktą)","")</f>
        <v/>
      </c>
      <c r="E147" t="b">
        <f t="shared" si="23"/>
        <v>0</v>
      </c>
      <c r="F147" t="str">
        <f t="shared" si="24"/>
        <v/>
      </c>
      <c r="H147" t="str">
        <f t="shared" si="25"/>
        <v/>
      </c>
      <c r="I147" s="35" t="str">
        <f>IFERROR(INDEX($C$144:$C$149,SMALL($F$144:$F$149,4)),"")</f>
        <v/>
      </c>
    </row>
    <row r="148" spans="1:9" x14ac:dyDescent="0.25">
      <c r="A148">
        <v>5</v>
      </c>
      <c r="C148" s="3" t="str">
        <f>IF(LEN('RPD ivedimas'!D8)&gt;3,"Siūlomi pakeitimai atitinka faktiškai sudarytą (pakeistą) projekto "&amp;'RPD ivedimas'!D8&amp;" finansavimo sutartį","")</f>
        <v/>
      </c>
      <c r="E148" t="b">
        <f t="shared" si="23"/>
        <v>0</v>
      </c>
      <c r="F148" t="str">
        <f t="shared" si="24"/>
        <v/>
      </c>
      <c r="H148" t="str">
        <f t="shared" si="25"/>
        <v/>
      </c>
      <c r="I148" s="35" t="str">
        <f>IFERROR(INDEX($C$144:$C$149,SMALL($F$144:$F$149,5)),"")</f>
        <v/>
      </c>
    </row>
    <row r="149" spans="1:9" x14ac:dyDescent="0.25">
      <c r="A149">
        <v>6</v>
      </c>
      <c r="C149" s="3" t="str">
        <f>IF('1_punktas'!D68="R","Priemonės "&amp;'1_punktas'!D67&amp;" regionui nustatyti sutarčių sudarymo ir išmokėjimo plano rodikliai bus nepasiekti","")</f>
        <v/>
      </c>
      <c r="E149" t="b">
        <f t="shared" si="23"/>
        <v>0</v>
      </c>
      <c r="F149" t="str">
        <f t="shared" si="24"/>
        <v/>
      </c>
      <c r="H149" t="str">
        <f t="shared" si="25"/>
        <v/>
      </c>
      <c r="I149" s="35" t="str">
        <f>IFERROR(INDEX($C$144:$C$149,SMALL($F$144:$F$149,6)),"")</f>
        <v/>
      </c>
    </row>
    <row r="151" spans="1:9" x14ac:dyDescent="0.25">
      <c r="I151" t="s">
        <v>154</v>
      </c>
    </row>
    <row r="152" spans="1:9" x14ac:dyDescent="0.25">
      <c r="A152">
        <v>1</v>
      </c>
      <c r="C152" t="str">
        <f>IF('1_punktas'!D68="R","Priemonės "&amp;'1_punktas'!D67&amp;" regionui nustatyti produkto rodikliai pasiekiami ir pakeitus projektą","")</f>
        <v/>
      </c>
      <c r="E152" t="b">
        <f t="shared" ref="E152:E157" si="26">IF(LEN(C152)&gt;1,TRUE,FALSE)</f>
        <v>0</v>
      </c>
      <c r="F152" t="str">
        <f t="shared" ref="F152:F157" si="27">IF(E152,A152,"")</f>
        <v/>
      </c>
      <c r="H152" t="str">
        <f t="shared" ref="H152:H157" si="28">IF(LEN(I152)&gt;0,A152,"")</f>
        <v/>
      </c>
      <c r="I152" s="35" t="str">
        <f>IFERROR(INDEX($C$152:$C$157,SMALL($F$152:$F$157,1)),"")</f>
        <v/>
      </c>
    </row>
    <row r="153" spans="1:9" x14ac:dyDescent="0.25">
      <c r="A153">
        <v>2</v>
      </c>
      <c r="C153" t="str">
        <f>IF('1_punktas'!D68="R","Priemonės "&amp;'1_punktas'!D67&amp;" regionui nustatyti produkto rodikliai bus pasiekti pakeitus (įrašius) kitą projektą (pridėtas pasiūlymas)","")</f>
        <v/>
      </c>
      <c r="E153" t="b">
        <f t="shared" si="26"/>
        <v>0</v>
      </c>
      <c r="F153" t="str">
        <f t="shared" si="27"/>
        <v/>
      </c>
      <c r="H153" t="str">
        <f t="shared" si="28"/>
        <v/>
      </c>
      <c r="I153" s="35" t="str">
        <f>IFERROR(INDEX($C$152:$C$157,SMALL($F$152:$F$157,2)),"")</f>
        <v/>
      </c>
    </row>
    <row r="154" spans="1:9" x14ac:dyDescent="0.25">
      <c r="A154">
        <v>3</v>
      </c>
      <c r="C154" t="str">
        <f>IF(LEN('1_punktas'!D65)+LEN('1_punktas'!E65)&gt;1,"Planuojamus mažesnius įsipareigojimus numatoma derinti su "&amp;IF(LEN('1_punktas'!D65)&lt;2,'1_punktas'!E65,'1_punktas'!D65),"")</f>
        <v/>
      </c>
      <c r="E154" t="b">
        <f t="shared" si="26"/>
        <v>0</v>
      </c>
      <c r="F154" t="str">
        <f t="shared" si="27"/>
        <v/>
      </c>
      <c r="H154" t="str">
        <f t="shared" si="28"/>
        <v/>
      </c>
      <c r="I154" s="35" t="str">
        <f>IFERROR(INDEX($C$152:$C$157,SMALL($F$152:$F$157,3)),"")</f>
        <v/>
      </c>
    </row>
    <row r="155" spans="1:9" x14ac:dyDescent="0.25">
      <c r="A155">
        <v>4</v>
      </c>
      <c r="C155" t="str">
        <f>IF(LEN('1_punktas'!D65)+LEN('1_punktas'!E65)&gt;1,"Planuojami mažesni įsipareigojimai suderinti su "&amp;IF(LEN('1_punktas'!D65)&lt;2,'1_punktas'!E65,'1_punktas'!D65)&amp;" (pridėta rašto kopija arba nuoroda į teisės aktą)","")</f>
        <v/>
      </c>
      <c r="E155" t="b">
        <f t="shared" si="26"/>
        <v>0</v>
      </c>
      <c r="F155" t="str">
        <f t="shared" si="27"/>
        <v/>
      </c>
      <c r="H155" t="str">
        <f t="shared" si="28"/>
        <v/>
      </c>
      <c r="I155" s="35" t="str">
        <f>IFERROR(INDEX($C$152:$C$157,SMALL($F$152:$F$157,4)),"")</f>
        <v/>
      </c>
    </row>
    <row r="156" spans="1:9" x14ac:dyDescent="0.25">
      <c r="A156">
        <v>5</v>
      </c>
      <c r="C156" s="3" t="str">
        <f>IF(LEN('RPD ivedimas'!D8)&gt;3,"Siūlomi pakeitimai atitinka faktiškai sudarytą (pakeistą) projekto "&amp;'RPD ivedimas'!D8&amp;" finansavimo sutartį","")</f>
        <v/>
      </c>
      <c r="E156" t="b">
        <f t="shared" si="26"/>
        <v>0</v>
      </c>
      <c r="F156" t="str">
        <f t="shared" si="27"/>
        <v/>
      </c>
      <c r="H156" t="str">
        <f t="shared" si="28"/>
        <v/>
      </c>
      <c r="I156" s="35" t="str">
        <f>IFERROR(INDEX($C$152:$C$157,SMALL($F$152:$F$157,5)),"")</f>
        <v/>
      </c>
    </row>
    <row r="157" spans="1:9" x14ac:dyDescent="0.25">
      <c r="A157">
        <v>6</v>
      </c>
      <c r="C157" s="3" t="str">
        <f>IF('1_punktas'!D68="R","Priemonės "&amp;'1_punktas'!D67&amp;" regionui nustatyti produkto rodikliai bus nepasiekti","")</f>
        <v/>
      </c>
      <c r="E157" t="b">
        <f t="shared" si="26"/>
        <v>0</v>
      </c>
      <c r="F157" t="str">
        <f t="shared" si="27"/>
        <v/>
      </c>
      <c r="H157" t="str">
        <f t="shared" si="28"/>
        <v/>
      </c>
      <c r="I157" s="35" t="str">
        <f>IFERROR(INDEX($C$152:$C$157,SMALL($F$152:$F$157,6)),"")</f>
        <v/>
      </c>
    </row>
    <row r="162" spans="1:4" x14ac:dyDescent="0.25">
      <c r="A162">
        <v>1</v>
      </c>
      <c r="C162" t="s">
        <v>486</v>
      </c>
      <c r="D162" t="s">
        <v>487</v>
      </c>
    </row>
    <row r="163" spans="1:4" x14ac:dyDescent="0.25">
      <c r="A163">
        <v>2</v>
      </c>
      <c r="C163" t="s">
        <v>488</v>
      </c>
      <c r="D163" t="s">
        <v>489</v>
      </c>
    </row>
    <row r="164" spans="1:4" x14ac:dyDescent="0.25">
      <c r="A164">
        <v>3</v>
      </c>
      <c r="C164" t="s">
        <v>490</v>
      </c>
      <c r="D164" t="s">
        <v>491</v>
      </c>
    </row>
    <row r="165" spans="1:4" x14ac:dyDescent="0.25">
      <c r="A165">
        <v>4</v>
      </c>
      <c r="C165" t="s">
        <v>492</v>
      </c>
      <c r="D165" t="s">
        <v>493</v>
      </c>
    </row>
    <row r="166" spans="1:4" x14ac:dyDescent="0.25">
      <c r="A166">
        <v>5</v>
      </c>
    </row>
    <row r="167" spans="1:4" x14ac:dyDescent="0.25">
      <c r="A167">
        <v>6</v>
      </c>
    </row>
    <row r="168" spans="1:4" x14ac:dyDescent="0.25">
      <c r="A168">
        <v>7</v>
      </c>
    </row>
  </sheetData>
  <dataValidations count="2">
    <dataValidation type="list" allowBlank="1" showInputMessage="1" showErrorMessage="1" sqref="I120">
      <formula1>pinigai</formula1>
    </dataValidation>
    <dataValidation type="list" allowBlank="1" showInputMessage="1" showErrorMessage="1" sqref="G131">
      <formula1>OFFSET(I124,1,1,MAX(H124:H129),1)</formula1>
    </dataValidation>
  </dataValidation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0"/>
  <sheetViews>
    <sheetView workbookViewId="0">
      <selection activeCell="G12" sqref="G12"/>
    </sheetView>
  </sheetViews>
  <sheetFormatPr defaultRowHeight="15" x14ac:dyDescent="0.25"/>
  <cols>
    <col min="1" max="1" width="6.140625" customWidth="1"/>
    <col min="2" max="2" width="10.7109375" customWidth="1"/>
    <col min="3" max="3" width="37.42578125" customWidth="1"/>
    <col min="5" max="6" width="9.140625" customWidth="1"/>
    <col min="7" max="7" width="22.140625" customWidth="1"/>
    <col min="8" max="9" width="0" hidden="1" customWidth="1"/>
  </cols>
  <sheetData>
    <row r="1" spans="2:11" ht="18" customHeight="1" x14ac:dyDescent="0.25">
      <c r="D1" s="612" t="s">
        <v>947</v>
      </c>
      <c r="E1" s="612"/>
      <c r="F1" s="612"/>
    </row>
    <row r="2" spans="2:11" ht="16.5" customHeight="1" x14ac:dyDescent="0.25">
      <c r="D2" s="612" t="s">
        <v>948</v>
      </c>
      <c r="E2" s="612"/>
      <c r="F2" s="612"/>
    </row>
    <row r="3" spans="2:11" ht="15.75" x14ac:dyDescent="0.25">
      <c r="D3" s="612" t="s">
        <v>1023</v>
      </c>
      <c r="E3" s="612"/>
      <c r="F3" s="612"/>
    </row>
    <row r="5" spans="2:11" ht="15.75" x14ac:dyDescent="0.25">
      <c r="B5" s="613"/>
      <c r="C5" s="613"/>
      <c r="D5" s="613"/>
      <c r="G5" s="611"/>
      <c r="H5" s="611"/>
      <c r="I5" s="611"/>
      <c r="J5" s="611"/>
      <c r="K5" s="132"/>
    </row>
    <row r="6" spans="2:11" ht="15.75" x14ac:dyDescent="0.25">
      <c r="B6" s="490" t="s">
        <v>1005</v>
      </c>
      <c r="C6" s="490"/>
      <c r="G6" s="132"/>
      <c r="H6" s="132"/>
      <c r="I6" s="132"/>
      <c r="J6" s="132"/>
      <c r="K6" s="132"/>
    </row>
    <row r="7" spans="2:11" x14ac:dyDescent="0.25">
      <c r="B7" s="482" t="s">
        <v>1000</v>
      </c>
      <c r="C7" s="482" t="s">
        <v>105</v>
      </c>
      <c r="D7" s="482" t="s">
        <v>495</v>
      </c>
      <c r="G7" s="132"/>
      <c r="H7" s="132"/>
      <c r="I7" s="132"/>
      <c r="J7" s="132"/>
      <c r="K7" s="132"/>
    </row>
    <row r="8" spans="2:11" x14ac:dyDescent="0.25">
      <c r="B8" s="492" t="s">
        <v>428</v>
      </c>
      <c r="C8" s="492" t="s">
        <v>214</v>
      </c>
      <c r="D8" s="493">
        <v>0</v>
      </c>
      <c r="G8" s="132"/>
      <c r="H8" s="132"/>
      <c r="I8" s="132"/>
      <c r="J8" s="365"/>
      <c r="K8" s="132"/>
    </row>
    <row r="9" spans="2:11" x14ac:dyDescent="0.25">
      <c r="B9" s="492" t="s">
        <v>429</v>
      </c>
      <c r="C9" s="492" t="s">
        <v>251</v>
      </c>
      <c r="D9" s="493">
        <v>1</v>
      </c>
      <c r="G9" s="132"/>
      <c r="H9" s="132"/>
      <c r="I9" s="132"/>
      <c r="J9" s="365"/>
      <c r="K9" s="132"/>
    </row>
    <row r="10" spans="2:11" x14ac:dyDescent="0.25">
      <c r="B10" s="492" t="s">
        <v>430</v>
      </c>
      <c r="C10" s="492" t="s">
        <v>256</v>
      </c>
      <c r="D10" s="493">
        <v>3</v>
      </c>
      <c r="G10" s="132"/>
      <c r="H10" s="132"/>
      <c r="I10" s="132"/>
      <c r="J10" s="365"/>
      <c r="K10" s="132"/>
    </row>
    <row r="11" spans="2:11" x14ac:dyDescent="0.25">
      <c r="B11" s="492" t="s">
        <v>431</v>
      </c>
      <c r="C11" s="492" t="s">
        <v>281</v>
      </c>
      <c r="D11" s="493">
        <v>4</v>
      </c>
      <c r="G11" s="132"/>
      <c r="H11" s="132"/>
      <c r="I11" s="132"/>
      <c r="J11" s="365"/>
      <c r="K11" s="132"/>
    </row>
    <row r="12" spans="2:11" x14ac:dyDescent="0.25">
      <c r="B12" s="492" t="s">
        <v>432</v>
      </c>
      <c r="C12" s="492" t="s">
        <v>298</v>
      </c>
      <c r="D12" s="493">
        <v>5</v>
      </c>
      <c r="G12" s="132"/>
      <c r="H12" s="132"/>
      <c r="I12" s="132"/>
      <c r="J12" s="365"/>
      <c r="K12" s="132"/>
    </row>
    <row r="13" spans="2:11" x14ac:dyDescent="0.25">
      <c r="B13" s="492" t="s">
        <v>433</v>
      </c>
      <c r="C13" s="492" t="s">
        <v>347</v>
      </c>
      <c r="D13" s="493">
        <v>6</v>
      </c>
      <c r="G13" s="132"/>
      <c r="H13" s="132"/>
      <c r="I13" s="132"/>
      <c r="J13" s="365"/>
      <c r="K13" s="132"/>
    </row>
    <row r="14" spans="2:11" x14ac:dyDescent="0.25">
      <c r="B14" s="492" t="s">
        <v>434</v>
      </c>
      <c r="C14" s="492" t="s">
        <v>1024</v>
      </c>
      <c r="D14" s="493">
        <v>7</v>
      </c>
      <c r="G14" s="132"/>
      <c r="H14" s="132"/>
      <c r="I14" s="132"/>
      <c r="J14" s="365"/>
      <c r="K14" s="132"/>
    </row>
    <row r="15" spans="2:11" x14ac:dyDescent="0.25">
      <c r="B15" s="492" t="s">
        <v>435</v>
      </c>
      <c r="C15" s="492" t="s">
        <v>1025</v>
      </c>
      <c r="D15" s="493">
        <v>8</v>
      </c>
      <c r="G15" s="132"/>
      <c r="H15" s="132"/>
      <c r="I15" s="132"/>
      <c r="J15" s="365"/>
      <c r="K15" s="132"/>
    </row>
    <row r="16" spans="2:11" x14ac:dyDescent="0.25">
      <c r="B16" s="492" t="s">
        <v>36</v>
      </c>
      <c r="C16" s="492" t="s">
        <v>398</v>
      </c>
      <c r="D16" s="493">
        <v>9</v>
      </c>
      <c r="G16" s="132"/>
      <c r="H16" s="132"/>
      <c r="I16" s="132"/>
      <c r="J16" s="365"/>
      <c r="K16" s="132"/>
    </row>
    <row r="17" spans="2:11" x14ac:dyDescent="0.25">
      <c r="B17" s="492" t="s">
        <v>436</v>
      </c>
      <c r="C17" s="492" t="s">
        <v>423</v>
      </c>
      <c r="D17" s="493" t="s">
        <v>942</v>
      </c>
      <c r="G17" s="132"/>
      <c r="H17" s="132"/>
      <c r="I17" s="132"/>
      <c r="J17" s="365"/>
      <c r="K17" s="132"/>
    </row>
    <row r="18" spans="2:11" ht="15.75" thickBot="1" x14ac:dyDescent="0.3">
      <c r="B18" s="491" t="s">
        <v>40</v>
      </c>
      <c r="C18" s="491" t="s">
        <v>40</v>
      </c>
      <c r="D18" s="493" t="s">
        <v>1011</v>
      </c>
      <c r="G18" s="132"/>
      <c r="H18" s="132"/>
      <c r="I18" s="132"/>
      <c r="J18" s="132"/>
      <c r="K18" s="132"/>
    </row>
    <row r="19" spans="2:11" hidden="1" x14ac:dyDescent="0.25">
      <c r="B19" s="491"/>
      <c r="C19" s="491"/>
      <c r="D19" s="493" t="s">
        <v>438</v>
      </c>
      <c r="G19" s="132"/>
      <c r="H19" s="132"/>
      <c r="I19" s="132"/>
      <c r="J19" s="132"/>
      <c r="K19" s="132"/>
    </row>
    <row r="20" spans="2:11" ht="30.75" customHeight="1" x14ac:dyDescent="0.25">
      <c r="B20" s="572" t="s">
        <v>1015</v>
      </c>
      <c r="C20" s="572"/>
      <c r="D20" s="572"/>
      <c r="E20" s="512"/>
    </row>
  </sheetData>
  <mergeCells count="6">
    <mergeCell ref="G5:J5"/>
    <mergeCell ref="B20:D20"/>
    <mergeCell ref="D1:F1"/>
    <mergeCell ref="D2:F2"/>
    <mergeCell ref="D3:F3"/>
    <mergeCell ref="B5:D5"/>
  </mergeCells>
  <pageMargins left="0.7" right="0.7" top="0.75" bottom="0.75" header="0.3" footer="0.3"/>
  <pageSetup scale="8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7"/>
  <sheetViews>
    <sheetView topLeftCell="A19" workbookViewId="0">
      <selection activeCell="B16" sqref="B16"/>
    </sheetView>
  </sheetViews>
  <sheetFormatPr defaultRowHeight="15" x14ac:dyDescent="0.25"/>
  <cols>
    <col min="2" max="2" width="24.140625" customWidth="1"/>
    <col min="3" max="3" width="27.28515625" customWidth="1"/>
  </cols>
  <sheetData>
    <row r="1" spans="2:6" ht="15.75" x14ac:dyDescent="0.25">
      <c r="D1" s="612" t="s">
        <v>947</v>
      </c>
      <c r="E1" s="612"/>
      <c r="F1" s="612"/>
    </row>
    <row r="2" spans="2:6" ht="15.75" x14ac:dyDescent="0.25">
      <c r="D2" s="612" t="s">
        <v>948</v>
      </c>
      <c r="E2" s="612"/>
      <c r="F2" s="612"/>
    </row>
    <row r="3" spans="2:6" ht="15.75" x14ac:dyDescent="0.25">
      <c r="D3" s="612" t="s">
        <v>1023</v>
      </c>
      <c r="E3" s="612"/>
      <c r="F3" s="612"/>
    </row>
    <row r="5" spans="2:6" ht="15.75" x14ac:dyDescent="0.25">
      <c r="B5" s="613"/>
      <c r="C5" s="613"/>
    </row>
    <row r="6" spans="2:6" ht="15.75" x14ac:dyDescent="0.25">
      <c r="B6" s="490" t="s">
        <v>1006</v>
      </c>
      <c r="C6" s="360"/>
    </row>
    <row r="7" spans="2:6" x14ac:dyDescent="0.25">
      <c r="B7" s="482" t="s">
        <v>996</v>
      </c>
      <c r="C7" s="482" t="s">
        <v>495</v>
      </c>
    </row>
    <row r="8" spans="2:6" x14ac:dyDescent="0.25">
      <c r="B8" s="494" t="s">
        <v>712</v>
      </c>
      <c r="C8" s="495" t="s">
        <v>441</v>
      </c>
    </row>
    <row r="9" spans="2:6" x14ac:dyDescent="0.25">
      <c r="B9" s="494" t="s">
        <v>107</v>
      </c>
      <c r="C9" s="495" t="s">
        <v>447</v>
      </c>
    </row>
    <row r="10" spans="2:6" x14ac:dyDescent="0.25">
      <c r="B10" s="494" t="s">
        <v>713</v>
      </c>
      <c r="C10" s="495" t="s">
        <v>449</v>
      </c>
    </row>
    <row r="11" spans="2:6" x14ac:dyDescent="0.25">
      <c r="B11" s="494" t="s">
        <v>714</v>
      </c>
      <c r="C11" s="495" t="s">
        <v>452</v>
      </c>
    </row>
    <row r="12" spans="2:6" x14ac:dyDescent="0.25">
      <c r="B12" s="494" t="s">
        <v>715</v>
      </c>
      <c r="C12" s="495" t="s">
        <v>456</v>
      </c>
    </row>
    <row r="13" spans="2:6" x14ac:dyDescent="0.25">
      <c r="B13" s="494" t="s">
        <v>716</v>
      </c>
      <c r="C13" s="495" t="s">
        <v>460</v>
      </c>
    </row>
    <row r="14" spans="2:6" x14ac:dyDescent="0.25">
      <c r="B14" s="494" t="s">
        <v>718</v>
      </c>
      <c r="C14" s="495" t="s">
        <v>463</v>
      </c>
    </row>
    <row r="15" spans="2:6" x14ac:dyDescent="0.25">
      <c r="B15" s="494" t="s">
        <v>717</v>
      </c>
      <c r="C15" s="495" t="s">
        <v>466</v>
      </c>
    </row>
    <row r="16" spans="2:6" x14ac:dyDescent="0.25">
      <c r="B16" s="494" t="s">
        <v>719</v>
      </c>
      <c r="C16" s="495" t="s">
        <v>469</v>
      </c>
    </row>
    <row r="17" spans="2:3" x14ac:dyDescent="0.25">
      <c r="B17" s="494" t="s">
        <v>720</v>
      </c>
      <c r="C17" s="495" t="s">
        <v>473</v>
      </c>
    </row>
  </sheetData>
  <mergeCells count="4">
    <mergeCell ref="D1:F1"/>
    <mergeCell ref="D2:F2"/>
    <mergeCell ref="D3:F3"/>
    <mergeCell ref="B5:C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9"/>
  <sheetViews>
    <sheetView topLeftCell="B1" zoomScaleSheetLayoutView="100" workbookViewId="0">
      <selection activeCell="E3" sqref="E3"/>
    </sheetView>
  </sheetViews>
  <sheetFormatPr defaultColWidth="9" defaultRowHeight="15" x14ac:dyDescent="0.25"/>
  <cols>
    <col min="2" max="2" width="53.140625" customWidth="1"/>
    <col min="3" max="3" width="70" customWidth="1"/>
    <col min="4" max="4" width="20.7109375" customWidth="1"/>
  </cols>
  <sheetData>
    <row r="1" spans="1:17" x14ac:dyDescent="0.25">
      <c r="B1" t="s">
        <v>494</v>
      </c>
      <c r="C1" t="s">
        <v>141</v>
      </c>
      <c r="D1" t="s">
        <v>495</v>
      </c>
      <c r="G1" t="s">
        <v>496</v>
      </c>
      <c r="H1" t="s">
        <v>497</v>
      </c>
      <c r="I1" t="s">
        <v>498</v>
      </c>
      <c r="J1" t="s">
        <v>499</v>
      </c>
      <c r="K1" t="s">
        <v>500</v>
      </c>
      <c r="L1" t="s">
        <v>501</v>
      </c>
      <c r="M1" t="s">
        <v>502</v>
      </c>
      <c r="N1" t="s">
        <v>503</v>
      </c>
      <c r="O1" t="s">
        <v>504</v>
      </c>
      <c r="P1" t="s">
        <v>505</v>
      </c>
      <c r="Q1" t="s">
        <v>506</v>
      </c>
    </row>
    <row r="2" spans="1:17" x14ac:dyDescent="0.25">
      <c r="A2" t="str">
        <f>TRIM('1_punktas'!D101)</f>
        <v/>
      </c>
      <c r="B2" t="str">
        <f>IFERROR(INDEX(C2:C54,MATCH(A2,D2:D54,0),1),"")</f>
        <v/>
      </c>
      <c r="D2" s="24" t="s">
        <v>507</v>
      </c>
    </row>
    <row r="3" spans="1:17" x14ac:dyDescent="0.25">
      <c r="A3" t="str">
        <f>TRIM('1_punktas'!D103)</f>
        <v/>
      </c>
      <c r="B3" t="str">
        <f>IFERROR(INDEX(C3:C55,MATCH(A3,D3:D55,0),1),"")</f>
        <v/>
      </c>
      <c r="C3" t="s">
        <v>508</v>
      </c>
      <c r="D3" s="24" t="s">
        <v>509</v>
      </c>
      <c r="G3" t="s">
        <v>508</v>
      </c>
      <c r="H3" t="s">
        <v>508</v>
      </c>
      <c r="I3" t="s">
        <v>510</v>
      </c>
      <c r="J3" t="s">
        <v>511</v>
      </c>
      <c r="K3" t="s">
        <v>512</v>
      </c>
      <c r="L3" t="s">
        <v>513</v>
      </c>
      <c r="M3" t="s">
        <v>514</v>
      </c>
      <c r="N3" t="s">
        <v>515</v>
      </c>
      <c r="O3" t="s">
        <v>512</v>
      </c>
      <c r="P3" t="s">
        <v>508</v>
      </c>
      <c r="Q3" t="s">
        <v>508</v>
      </c>
    </row>
    <row r="4" spans="1:17" x14ac:dyDescent="0.25">
      <c r="A4" t="str">
        <f>TRIM('1_punktas'!D105)</f>
        <v/>
      </c>
      <c r="B4" t="str">
        <f>IFERROR(INDEX(C4:C56,MATCH(A4,D4:D56,0),1),"")</f>
        <v/>
      </c>
      <c r="C4" t="s">
        <v>516</v>
      </c>
      <c r="D4" s="24" t="s">
        <v>517</v>
      </c>
      <c r="G4" t="s">
        <v>516</v>
      </c>
      <c r="H4" t="s">
        <v>516</v>
      </c>
      <c r="I4" t="s">
        <v>518</v>
      </c>
      <c r="J4" t="s">
        <v>519</v>
      </c>
      <c r="K4" t="s">
        <v>520</v>
      </c>
      <c r="L4" t="s">
        <v>521</v>
      </c>
      <c r="M4" t="s">
        <v>522</v>
      </c>
      <c r="N4" t="s">
        <v>523</v>
      </c>
      <c r="O4" t="s">
        <v>524</v>
      </c>
      <c r="P4" t="s">
        <v>516</v>
      </c>
      <c r="Q4" t="s">
        <v>516</v>
      </c>
    </row>
    <row r="5" spans="1:17" x14ac:dyDescent="0.25">
      <c r="C5" t="s">
        <v>525</v>
      </c>
      <c r="D5" s="24" t="s">
        <v>526</v>
      </c>
      <c r="G5" t="s">
        <v>525</v>
      </c>
      <c r="H5" t="s">
        <v>525</v>
      </c>
      <c r="I5" t="s">
        <v>527</v>
      </c>
      <c r="J5" t="s">
        <v>513</v>
      </c>
      <c r="K5" t="s">
        <v>524</v>
      </c>
      <c r="L5" t="s">
        <v>528</v>
      </c>
      <c r="M5" t="s">
        <v>529</v>
      </c>
      <c r="N5" t="s">
        <v>530</v>
      </c>
      <c r="O5" t="s">
        <v>531</v>
      </c>
      <c r="P5" t="s">
        <v>525</v>
      </c>
      <c r="Q5" t="s">
        <v>525</v>
      </c>
    </row>
    <row r="6" spans="1:17" x14ac:dyDescent="0.25">
      <c r="C6" t="s">
        <v>532</v>
      </c>
      <c r="D6" s="24" t="s">
        <v>533</v>
      </c>
      <c r="G6" t="s">
        <v>532</v>
      </c>
      <c r="H6" t="s">
        <v>534</v>
      </c>
      <c r="I6" t="s">
        <v>534</v>
      </c>
      <c r="J6" t="s">
        <v>521</v>
      </c>
      <c r="K6" t="s">
        <v>531</v>
      </c>
      <c r="L6" t="s">
        <v>534</v>
      </c>
      <c r="M6" t="s">
        <v>535</v>
      </c>
      <c r="N6" t="s">
        <v>536</v>
      </c>
      <c r="O6" t="s">
        <v>537</v>
      </c>
      <c r="P6" t="s">
        <v>538</v>
      </c>
      <c r="Q6" t="s">
        <v>532</v>
      </c>
    </row>
    <row r="7" spans="1:17" x14ac:dyDescent="0.25">
      <c r="C7" t="s">
        <v>538</v>
      </c>
      <c r="D7" s="24" t="s">
        <v>539</v>
      </c>
      <c r="G7" t="s">
        <v>538</v>
      </c>
      <c r="H7" t="s">
        <v>540</v>
      </c>
      <c r="I7" t="s">
        <v>540</v>
      </c>
      <c r="J7" t="s">
        <v>541</v>
      </c>
      <c r="K7" t="s">
        <v>537</v>
      </c>
      <c r="L7" t="s">
        <v>540</v>
      </c>
      <c r="M7" t="s">
        <v>542</v>
      </c>
      <c r="N7" t="s">
        <v>518</v>
      </c>
      <c r="O7" t="s">
        <v>543</v>
      </c>
      <c r="P7" t="s">
        <v>544</v>
      </c>
      <c r="Q7" t="s">
        <v>538</v>
      </c>
    </row>
    <row r="8" spans="1:17" x14ac:dyDescent="0.25">
      <c r="C8" t="s">
        <v>544</v>
      </c>
      <c r="D8" s="24" t="s">
        <v>545</v>
      </c>
      <c r="G8" t="s">
        <v>544</v>
      </c>
      <c r="H8" t="s">
        <v>546</v>
      </c>
      <c r="I8" t="s">
        <v>546</v>
      </c>
      <c r="J8" t="s">
        <v>534</v>
      </c>
      <c r="K8" t="s">
        <v>543</v>
      </c>
      <c r="L8" t="s">
        <v>546</v>
      </c>
      <c r="M8" t="s">
        <v>534</v>
      </c>
      <c r="N8" t="s">
        <v>547</v>
      </c>
      <c r="O8" t="s">
        <v>548</v>
      </c>
      <c r="P8" t="s">
        <v>549</v>
      </c>
      <c r="Q8" t="s">
        <v>544</v>
      </c>
    </row>
    <row r="9" spans="1:17" x14ac:dyDescent="0.25">
      <c r="C9" t="s">
        <v>549</v>
      </c>
      <c r="D9" s="24" t="s">
        <v>550</v>
      </c>
      <c r="G9" t="s">
        <v>549</v>
      </c>
      <c r="J9" t="s">
        <v>540</v>
      </c>
      <c r="K9" t="s">
        <v>551</v>
      </c>
      <c r="M9" t="s">
        <v>540</v>
      </c>
      <c r="N9" t="s">
        <v>527</v>
      </c>
      <c r="O9" t="s">
        <v>542</v>
      </c>
      <c r="P9" t="s">
        <v>552</v>
      </c>
      <c r="Q9" t="s">
        <v>549</v>
      </c>
    </row>
    <row r="10" spans="1:17" x14ac:dyDescent="0.25">
      <c r="C10" t="s">
        <v>552</v>
      </c>
      <c r="D10" s="24" t="s">
        <v>553</v>
      </c>
      <c r="G10" t="s">
        <v>552</v>
      </c>
      <c r="J10" t="s">
        <v>546</v>
      </c>
      <c r="K10" t="s">
        <v>554</v>
      </c>
      <c r="M10" t="s">
        <v>546</v>
      </c>
      <c r="N10" t="s">
        <v>534</v>
      </c>
      <c r="O10" t="s">
        <v>555</v>
      </c>
      <c r="P10" t="s">
        <v>512</v>
      </c>
      <c r="Q10" t="s">
        <v>552</v>
      </c>
    </row>
    <row r="11" spans="1:17" x14ac:dyDescent="0.25">
      <c r="C11" t="s">
        <v>512</v>
      </c>
      <c r="D11" s="24" t="s">
        <v>556</v>
      </c>
      <c r="G11" t="s">
        <v>512</v>
      </c>
      <c r="K11" t="s">
        <v>557</v>
      </c>
      <c r="N11" t="s">
        <v>540</v>
      </c>
      <c r="O11" t="s">
        <v>558</v>
      </c>
      <c r="P11" t="s">
        <v>524</v>
      </c>
      <c r="Q11" t="s">
        <v>512</v>
      </c>
    </row>
    <row r="12" spans="1:17" x14ac:dyDescent="0.25">
      <c r="C12" t="s">
        <v>520</v>
      </c>
      <c r="D12" s="24" t="s">
        <v>559</v>
      </c>
      <c r="G12" t="s">
        <v>520</v>
      </c>
      <c r="K12" t="s">
        <v>560</v>
      </c>
      <c r="N12" t="s">
        <v>546</v>
      </c>
      <c r="O12" t="s">
        <v>561</v>
      </c>
      <c r="P12" t="s">
        <v>531</v>
      </c>
      <c r="Q12" t="s">
        <v>520</v>
      </c>
    </row>
    <row r="13" spans="1:17" x14ac:dyDescent="0.25">
      <c r="C13" t="s">
        <v>524</v>
      </c>
      <c r="D13" s="24" t="s">
        <v>562</v>
      </c>
      <c r="G13" t="s">
        <v>548</v>
      </c>
      <c r="K13" t="s">
        <v>548</v>
      </c>
      <c r="O13" t="s">
        <v>563</v>
      </c>
      <c r="P13" t="s">
        <v>537</v>
      </c>
      <c r="Q13" t="s">
        <v>524</v>
      </c>
    </row>
    <row r="14" spans="1:17" x14ac:dyDescent="0.25">
      <c r="C14" t="s">
        <v>531</v>
      </c>
      <c r="D14" s="24" t="s">
        <v>564</v>
      </c>
      <c r="G14" t="s">
        <v>555</v>
      </c>
      <c r="K14" t="s">
        <v>565</v>
      </c>
      <c r="O14" t="s">
        <v>521</v>
      </c>
      <c r="P14" t="s">
        <v>543</v>
      </c>
      <c r="Q14" t="s">
        <v>531</v>
      </c>
    </row>
    <row r="15" spans="1:17" x14ac:dyDescent="0.25">
      <c r="C15" t="s">
        <v>537</v>
      </c>
      <c r="D15" s="24" t="s">
        <v>566</v>
      </c>
      <c r="G15" t="s">
        <v>515</v>
      </c>
      <c r="K15" t="s">
        <v>567</v>
      </c>
      <c r="O15" t="s">
        <v>510</v>
      </c>
      <c r="P15" t="s">
        <v>542</v>
      </c>
      <c r="Q15" t="s">
        <v>537</v>
      </c>
    </row>
    <row r="16" spans="1:17" x14ac:dyDescent="0.25">
      <c r="C16" t="s">
        <v>543</v>
      </c>
      <c r="D16" s="24" t="s">
        <v>568</v>
      </c>
      <c r="G16" t="s">
        <v>569</v>
      </c>
      <c r="K16" t="s">
        <v>534</v>
      </c>
      <c r="O16" t="s">
        <v>570</v>
      </c>
      <c r="P16" t="s">
        <v>513</v>
      </c>
      <c r="Q16" t="s">
        <v>543</v>
      </c>
    </row>
    <row r="17" spans="3:17" x14ac:dyDescent="0.25">
      <c r="C17" t="s">
        <v>551</v>
      </c>
      <c r="D17" s="24" t="s">
        <v>571</v>
      </c>
      <c r="G17" t="s">
        <v>572</v>
      </c>
      <c r="O17" t="s">
        <v>515</v>
      </c>
      <c r="P17" t="s">
        <v>555</v>
      </c>
      <c r="Q17" t="s">
        <v>551</v>
      </c>
    </row>
    <row r="18" spans="3:17" x14ac:dyDescent="0.25">
      <c r="C18" t="s">
        <v>554</v>
      </c>
      <c r="D18" s="24" t="s">
        <v>573</v>
      </c>
      <c r="G18" t="s">
        <v>574</v>
      </c>
      <c r="O18" t="s">
        <v>523</v>
      </c>
      <c r="P18" t="s">
        <v>558</v>
      </c>
      <c r="Q18" t="s">
        <v>554</v>
      </c>
    </row>
    <row r="19" spans="3:17" x14ac:dyDescent="0.25">
      <c r="C19" t="s">
        <v>557</v>
      </c>
      <c r="D19" s="24" t="s">
        <v>575</v>
      </c>
      <c r="G19" t="s">
        <v>576</v>
      </c>
      <c r="O19" t="s">
        <v>565</v>
      </c>
      <c r="P19" t="s">
        <v>561</v>
      </c>
      <c r="Q19" t="s">
        <v>557</v>
      </c>
    </row>
    <row r="20" spans="3:17" x14ac:dyDescent="0.25">
      <c r="C20" t="s">
        <v>560</v>
      </c>
      <c r="D20" s="24" t="s">
        <v>577</v>
      </c>
      <c r="G20" t="s">
        <v>565</v>
      </c>
      <c r="O20" t="s">
        <v>518</v>
      </c>
      <c r="P20" t="s">
        <v>563</v>
      </c>
      <c r="Q20" t="s">
        <v>560</v>
      </c>
    </row>
    <row r="21" spans="3:17" x14ac:dyDescent="0.25">
      <c r="C21" t="s">
        <v>548</v>
      </c>
      <c r="D21" s="24" t="s">
        <v>578</v>
      </c>
      <c r="G21" t="s">
        <v>530</v>
      </c>
      <c r="O21" t="s">
        <v>547</v>
      </c>
      <c r="P21" t="s">
        <v>521</v>
      </c>
      <c r="Q21" t="s">
        <v>548</v>
      </c>
    </row>
    <row r="22" spans="3:17" x14ac:dyDescent="0.25">
      <c r="C22" t="s">
        <v>514</v>
      </c>
      <c r="D22" s="24" t="s">
        <v>579</v>
      </c>
      <c r="G22" t="s">
        <v>536</v>
      </c>
      <c r="O22" t="s">
        <v>527</v>
      </c>
      <c r="P22" t="s">
        <v>510</v>
      </c>
      <c r="Q22" t="s">
        <v>514</v>
      </c>
    </row>
    <row r="23" spans="3:17" x14ac:dyDescent="0.25">
      <c r="C23" t="s">
        <v>522</v>
      </c>
      <c r="D23" s="24" t="s">
        <v>580</v>
      </c>
      <c r="G23" t="s">
        <v>547</v>
      </c>
      <c r="O23" t="s">
        <v>567</v>
      </c>
      <c r="P23" t="s">
        <v>570</v>
      </c>
      <c r="Q23" t="s">
        <v>522</v>
      </c>
    </row>
    <row r="24" spans="3:17" x14ac:dyDescent="0.25">
      <c r="C24" t="s">
        <v>529</v>
      </c>
      <c r="D24" s="24" t="s">
        <v>581</v>
      </c>
      <c r="G24" t="s">
        <v>527</v>
      </c>
      <c r="O24" t="s">
        <v>534</v>
      </c>
      <c r="P24" t="s">
        <v>572</v>
      </c>
      <c r="Q24" t="s">
        <v>529</v>
      </c>
    </row>
    <row r="25" spans="3:17" x14ac:dyDescent="0.25">
      <c r="C25" t="s">
        <v>535</v>
      </c>
      <c r="D25" s="24" t="s">
        <v>582</v>
      </c>
      <c r="G25" t="s">
        <v>534</v>
      </c>
      <c r="O25" t="s">
        <v>540</v>
      </c>
      <c r="P25" t="s">
        <v>574</v>
      </c>
      <c r="Q25" t="s">
        <v>535</v>
      </c>
    </row>
    <row r="26" spans="3:17" x14ac:dyDescent="0.25">
      <c r="C26" t="s">
        <v>542</v>
      </c>
      <c r="D26" s="24" t="s">
        <v>583</v>
      </c>
      <c r="G26" t="s">
        <v>540</v>
      </c>
      <c r="O26" t="s">
        <v>546</v>
      </c>
      <c r="P26" t="s">
        <v>565</v>
      </c>
      <c r="Q26" t="s">
        <v>542</v>
      </c>
    </row>
    <row r="27" spans="3:17" x14ac:dyDescent="0.25">
      <c r="C27" t="s">
        <v>511</v>
      </c>
      <c r="D27" s="24" t="s">
        <v>584</v>
      </c>
      <c r="G27" t="s">
        <v>546</v>
      </c>
      <c r="P27" t="s">
        <v>530</v>
      </c>
      <c r="Q27" t="s">
        <v>511</v>
      </c>
    </row>
    <row r="28" spans="3:17" x14ac:dyDescent="0.25">
      <c r="C28" t="s">
        <v>519</v>
      </c>
      <c r="D28" s="24" t="s">
        <v>585</v>
      </c>
      <c r="P28" t="s">
        <v>536</v>
      </c>
      <c r="Q28" t="s">
        <v>519</v>
      </c>
    </row>
    <row r="29" spans="3:17" x14ac:dyDescent="0.25">
      <c r="C29" t="s">
        <v>513</v>
      </c>
      <c r="D29" s="24" t="s">
        <v>586</v>
      </c>
      <c r="P29" t="s">
        <v>518</v>
      </c>
      <c r="Q29" t="s">
        <v>513</v>
      </c>
    </row>
    <row r="30" spans="3:17" x14ac:dyDescent="0.25">
      <c r="C30" t="s">
        <v>555</v>
      </c>
      <c r="D30" s="24" t="s">
        <v>587</v>
      </c>
      <c r="P30" t="s">
        <v>547</v>
      </c>
      <c r="Q30" t="s">
        <v>555</v>
      </c>
    </row>
    <row r="31" spans="3:17" x14ac:dyDescent="0.25">
      <c r="C31" t="s">
        <v>558</v>
      </c>
      <c r="D31" s="24" t="s">
        <v>588</v>
      </c>
      <c r="P31" t="s">
        <v>527</v>
      </c>
      <c r="Q31" t="s">
        <v>558</v>
      </c>
    </row>
    <row r="32" spans="3:17" x14ac:dyDescent="0.25">
      <c r="C32" t="s">
        <v>561</v>
      </c>
      <c r="D32" s="24" t="s">
        <v>589</v>
      </c>
      <c r="P32" t="s">
        <v>528</v>
      </c>
      <c r="Q32" t="s">
        <v>561</v>
      </c>
    </row>
    <row r="33" spans="3:17" x14ac:dyDescent="0.25">
      <c r="C33" t="s">
        <v>563</v>
      </c>
      <c r="D33" s="24" t="s">
        <v>590</v>
      </c>
      <c r="P33" t="s">
        <v>541</v>
      </c>
      <c r="Q33" t="s">
        <v>563</v>
      </c>
    </row>
    <row r="34" spans="3:17" x14ac:dyDescent="0.25">
      <c r="C34" t="s">
        <v>521</v>
      </c>
      <c r="D34" s="24" t="s">
        <v>591</v>
      </c>
      <c r="P34" t="s">
        <v>534</v>
      </c>
      <c r="Q34" t="s">
        <v>521</v>
      </c>
    </row>
    <row r="35" spans="3:17" x14ac:dyDescent="0.25">
      <c r="C35" t="s">
        <v>510</v>
      </c>
      <c r="D35" s="24" t="s">
        <v>592</v>
      </c>
      <c r="P35" t="s">
        <v>540</v>
      </c>
      <c r="Q35" t="s">
        <v>510</v>
      </c>
    </row>
    <row r="36" spans="3:17" x14ac:dyDescent="0.25">
      <c r="C36" t="s">
        <v>570</v>
      </c>
      <c r="D36" s="24" t="s">
        <v>593</v>
      </c>
      <c r="P36" t="s">
        <v>546</v>
      </c>
      <c r="Q36" t="s">
        <v>570</v>
      </c>
    </row>
    <row r="37" spans="3:17" x14ac:dyDescent="0.25">
      <c r="C37" t="s">
        <v>515</v>
      </c>
      <c r="D37" s="24" t="s">
        <v>594</v>
      </c>
      <c r="Q37" t="s">
        <v>515</v>
      </c>
    </row>
    <row r="38" spans="3:17" x14ac:dyDescent="0.25">
      <c r="C38" t="s">
        <v>523</v>
      </c>
      <c r="D38" s="24" t="s">
        <v>595</v>
      </c>
      <c r="Q38" t="s">
        <v>523</v>
      </c>
    </row>
    <row r="39" spans="3:17" x14ac:dyDescent="0.25">
      <c r="C39" t="s">
        <v>569</v>
      </c>
      <c r="D39" s="24" t="s">
        <v>596</v>
      </c>
      <c r="Q39" t="s">
        <v>569</v>
      </c>
    </row>
    <row r="40" spans="3:17" x14ac:dyDescent="0.25">
      <c r="C40" t="s">
        <v>572</v>
      </c>
      <c r="D40" s="24" t="s">
        <v>597</v>
      </c>
      <c r="Q40" t="s">
        <v>572</v>
      </c>
    </row>
    <row r="41" spans="3:17" x14ac:dyDescent="0.25">
      <c r="C41" t="s">
        <v>574</v>
      </c>
      <c r="D41" s="24" t="s">
        <v>598</v>
      </c>
      <c r="Q41" t="s">
        <v>574</v>
      </c>
    </row>
    <row r="42" spans="3:17" x14ac:dyDescent="0.25">
      <c r="C42" t="s">
        <v>576</v>
      </c>
      <c r="D42" s="24" t="s">
        <v>599</v>
      </c>
      <c r="Q42" t="s">
        <v>576</v>
      </c>
    </row>
    <row r="43" spans="3:17" x14ac:dyDescent="0.25">
      <c r="C43" t="s">
        <v>565</v>
      </c>
      <c r="D43" s="24" t="s">
        <v>600</v>
      </c>
      <c r="Q43" t="s">
        <v>565</v>
      </c>
    </row>
    <row r="44" spans="3:17" x14ac:dyDescent="0.25">
      <c r="C44" t="s">
        <v>530</v>
      </c>
      <c r="D44" s="24" t="s">
        <v>601</v>
      </c>
      <c r="Q44" t="s">
        <v>530</v>
      </c>
    </row>
    <row r="45" spans="3:17" x14ac:dyDescent="0.25">
      <c r="C45" t="s">
        <v>536</v>
      </c>
      <c r="D45" s="24" t="s">
        <v>602</v>
      </c>
      <c r="Q45" t="s">
        <v>536</v>
      </c>
    </row>
    <row r="46" spans="3:17" x14ac:dyDescent="0.25">
      <c r="C46" t="s">
        <v>518</v>
      </c>
      <c r="D46" s="24" t="s">
        <v>603</v>
      </c>
      <c r="Q46" t="s">
        <v>518</v>
      </c>
    </row>
    <row r="47" spans="3:17" x14ac:dyDescent="0.25">
      <c r="C47" t="s">
        <v>547</v>
      </c>
      <c r="D47" s="24" t="s">
        <v>604</v>
      </c>
      <c r="Q47" t="s">
        <v>547</v>
      </c>
    </row>
    <row r="48" spans="3:17" x14ac:dyDescent="0.25">
      <c r="C48" t="s">
        <v>527</v>
      </c>
      <c r="D48" s="24" t="s">
        <v>605</v>
      </c>
      <c r="Q48" t="s">
        <v>527</v>
      </c>
    </row>
    <row r="49" spans="3:17" x14ac:dyDescent="0.25">
      <c r="C49" t="s">
        <v>528</v>
      </c>
      <c r="D49" s="24" t="s">
        <v>606</v>
      </c>
      <c r="Q49" t="s">
        <v>528</v>
      </c>
    </row>
    <row r="50" spans="3:17" x14ac:dyDescent="0.25">
      <c r="C50" t="s">
        <v>541</v>
      </c>
      <c r="D50" s="24" t="s">
        <v>607</v>
      </c>
      <c r="Q50" t="s">
        <v>541</v>
      </c>
    </row>
    <row r="51" spans="3:17" x14ac:dyDescent="0.25">
      <c r="C51" t="s">
        <v>567</v>
      </c>
      <c r="D51" s="24" t="s">
        <v>608</v>
      </c>
      <c r="Q51" t="s">
        <v>567</v>
      </c>
    </row>
    <row r="52" spans="3:17" x14ac:dyDescent="0.25">
      <c r="C52" t="s">
        <v>534</v>
      </c>
      <c r="D52" s="24" t="s">
        <v>609</v>
      </c>
      <c r="Q52" t="s">
        <v>534</v>
      </c>
    </row>
    <row r="53" spans="3:17" x14ac:dyDescent="0.25">
      <c r="C53" t="s">
        <v>540</v>
      </c>
      <c r="D53" s="24" t="s">
        <v>610</v>
      </c>
      <c r="Q53" t="s">
        <v>540</v>
      </c>
    </row>
    <row r="54" spans="3:17" x14ac:dyDescent="0.25">
      <c r="C54" t="s">
        <v>546</v>
      </c>
      <c r="D54" s="24" t="s">
        <v>611</v>
      </c>
      <c r="Q54" t="s">
        <v>546</v>
      </c>
    </row>
    <row r="58" spans="3:17" x14ac:dyDescent="0.25">
      <c r="D58" t="s">
        <v>612</v>
      </c>
    </row>
    <row r="59" spans="3:17" x14ac:dyDescent="0.25">
      <c r="D59" t="s">
        <v>496</v>
      </c>
    </row>
    <row r="60" spans="3:17" x14ac:dyDescent="0.25">
      <c r="D60" t="s">
        <v>497</v>
      </c>
    </row>
    <row r="61" spans="3:17" x14ac:dyDescent="0.25">
      <c r="D61" t="s">
        <v>498</v>
      </c>
    </row>
    <row r="62" spans="3:17" x14ac:dyDescent="0.25">
      <c r="D62" t="s">
        <v>499</v>
      </c>
    </row>
    <row r="63" spans="3:17" x14ac:dyDescent="0.25">
      <c r="D63" t="s">
        <v>500</v>
      </c>
    </row>
    <row r="64" spans="3:17" x14ac:dyDescent="0.25">
      <c r="D64" t="s">
        <v>501</v>
      </c>
    </row>
    <row r="65" spans="4:4" x14ac:dyDescent="0.25">
      <c r="D65" t="s">
        <v>502</v>
      </c>
    </row>
    <row r="66" spans="4:4" x14ac:dyDescent="0.25">
      <c r="D66" t="s">
        <v>503</v>
      </c>
    </row>
    <row r="67" spans="4:4" x14ac:dyDescent="0.25">
      <c r="D67" t="s">
        <v>504</v>
      </c>
    </row>
    <row r="68" spans="4:4" x14ac:dyDescent="0.25">
      <c r="D68" t="s">
        <v>505</v>
      </c>
    </row>
    <row r="69" spans="4:4" x14ac:dyDescent="0.25">
      <c r="D69" t="s">
        <v>506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294FD3978F43D945977F627A2CEE2DCC" ma:contentTypeVersion="13" ma:contentTypeDescription="Kurkite naują dokumentą." ma:contentTypeScope="" ma:versionID="343708ba83b5203562e2af9a15f718d5">
  <xsd:schema xmlns:xsd="http://www.w3.org/2001/XMLSchema" xmlns:xs="http://www.w3.org/2001/XMLSchema" xmlns:p="http://schemas.microsoft.com/office/2006/metadata/properties" xmlns:ns3="0902b6f5-60c5-482b-b2c3-3a0717ea8ab2" xmlns:ns4="036a1caa-2c87-4062-be7b-33af219e9358" targetNamespace="http://schemas.microsoft.com/office/2006/metadata/properties" ma:root="true" ma:fieldsID="1308643166c036a808f897e3b73e4e6f" ns3:_="" ns4:_="">
    <xsd:import namespace="0902b6f5-60c5-482b-b2c3-3a0717ea8ab2"/>
    <xsd:import namespace="036a1caa-2c87-4062-be7b-33af219e935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AutoKeyPoints" minOccurs="0"/>
                <xsd:element ref="ns4:MediaServiceKeyPoint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02b6f5-60c5-482b-b2c3-3a0717ea8ab2"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SharingHintHash" ma:index="10" nillable="true" ma:displayName="Bendrinimo užuominos maiša"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36a1caa-2c87-4062-be7b-33af219e935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21169ED-3B5E-4A0E-B6A8-3C47C58054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02b6f5-60c5-482b-b2c3-3a0717ea8ab2"/>
    <ds:schemaRef ds:uri="036a1caa-2c87-4062-be7b-33af219e93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A0542C-3ED2-418A-8EA5-D17453C3A01B}">
  <ds:schemaRefs>
    <ds:schemaRef ds:uri="http://schemas.microsoft.com/sharepoint/v3/contenttype/forms"/>
  </ds:schemaRefs>
</ds:datastoreItem>
</file>

<file path=customXml/itemProps3.xml><?xml version="1.0" encoding="utf-8"?>
<ds:datastoreItem xmlns:ds="http://schemas.openxmlformats.org/officeDocument/2006/customXml" ds:itemID="{F3655D25-083E-4C9C-AA1B-645F3F549804}">
  <ds:schemaRefs>
    <ds:schemaRef ds:uri="http://schemas.microsoft.com/office/infopath/2007/PartnerControls"/>
    <ds:schemaRef ds:uri="0902b6f5-60c5-482b-b2c3-3a0717ea8ab2"/>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036a1caa-2c87-4062-be7b-33af219e935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Darbalapiai</vt:lpstr>
      </vt:variant>
      <vt:variant>
        <vt:i4>18</vt:i4>
      </vt:variant>
      <vt:variant>
        <vt:lpstr>Įvardinti diapazonai</vt:lpstr>
      </vt:variant>
      <vt:variant>
        <vt:i4>43</vt:i4>
      </vt:variant>
    </vt:vector>
  </HeadingPairs>
  <TitlesOfParts>
    <vt:vector size="61" baseType="lpstr">
      <vt:lpstr>1_punktas</vt:lpstr>
      <vt:lpstr>ITVP pasiulymas</vt:lpstr>
      <vt:lpstr>RPD ivedimas</vt:lpstr>
      <vt:lpstr>RPD tikrinimas</vt:lpstr>
      <vt:lpstr>klaidos</vt:lpstr>
      <vt:lpstr>sąrašai</vt:lpstr>
      <vt:lpstr>2_punktas</vt:lpstr>
      <vt:lpstr>3_punktas</vt:lpstr>
      <vt:lpstr>Veiklos</vt:lpstr>
      <vt:lpstr>4_punktas</vt:lpstr>
      <vt:lpstr>5 lentelė</vt:lpstr>
      <vt:lpstr>6-7 lentelės</vt:lpstr>
      <vt:lpstr>Lapas4</vt:lpstr>
      <vt:lpstr>generuojama ITVP forma</vt:lpstr>
      <vt:lpstr>VRM tikrinimas</vt:lpstr>
      <vt:lpstr>checklist</vt:lpstr>
      <vt:lpstr>savivaldybės</vt:lpstr>
      <vt:lpstr>Rodikliai</vt:lpstr>
      <vt:lpstr>–</vt:lpstr>
      <vt:lpstr>Alytaus</vt:lpstr>
      <vt:lpstr>AM</vt:lpstr>
      <vt:lpstr>AMV</vt:lpstr>
      <vt:lpstr>EM</vt:lpstr>
      <vt:lpstr>EMV</vt:lpstr>
      <vt:lpstr>Kauno</vt:lpstr>
      <vt:lpstr>Kauno_regionas</vt:lpstr>
      <vt:lpstr>Klaipėdos</vt:lpstr>
      <vt:lpstr>Klaipėdos_regionas</vt:lpstr>
      <vt:lpstr>KM</vt:lpstr>
      <vt:lpstr>KMV</vt:lpstr>
      <vt:lpstr>Marijampolės</vt:lpstr>
      <vt:lpstr>Marijampolės_regionas</vt:lpstr>
      <vt:lpstr>Min_veikla</vt:lpstr>
      <vt:lpstr>Ministerija</vt:lpstr>
      <vt:lpstr>Panevėžio</vt:lpstr>
      <vt:lpstr>Panevėžio_regionas</vt:lpstr>
      <vt:lpstr>SADM</vt:lpstr>
      <vt:lpstr>SADMV</vt:lpstr>
      <vt:lpstr>SAM</vt:lpstr>
      <vt:lpstr>SAMV</vt:lpstr>
      <vt:lpstr>SM</vt:lpstr>
      <vt:lpstr>SMV</vt:lpstr>
      <vt:lpstr>Šiaulių</vt:lpstr>
      <vt:lpstr>Šiaulių_regionas</vt:lpstr>
      <vt:lpstr>ŠMM</vt:lpstr>
      <vt:lpstr>ŠMMV</vt:lpstr>
      <vt:lpstr>Tauragės</vt:lpstr>
      <vt:lpstr>Tauragės_regionas</vt:lpstr>
      <vt:lpstr>Telšių</vt:lpstr>
      <vt:lpstr>Telšių_regionas</vt:lpstr>
      <vt:lpstr>ŪM</vt:lpstr>
      <vt:lpstr>ŪMV</vt:lpstr>
      <vt:lpstr>Utenos</vt:lpstr>
      <vt:lpstr>Utenos_regionas</vt:lpstr>
      <vt:lpstr>–V</vt:lpstr>
      <vt:lpstr>Vilniaus</vt:lpstr>
      <vt:lpstr>Vilniaus_regionas</vt:lpstr>
      <vt:lpstr>VRM</vt:lpstr>
      <vt:lpstr>VRMV</vt:lpstr>
      <vt:lpstr>ŽŪM</vt:lpstr>
      <vt:lpstr>ŽŪMV</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Andrius Valickas</dc:creator>
  <cp:lastModifiedBy>Sandra Jarilinaitė</cp:lastModifiedBy>
  <cp:revision>1</cp:revision>
  <cp:lastPrinted>2019-01-09T14:23:09Z</cp:lastPrinted>
  <dcterms:created xsi:type="dcterms:W3CDTF">2016-10-24T04:45:00Z</dcterms:created>
  <dcterms:modified xsi:type="dcterms:W3CDTF">2020-12-14T10:52:38Z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2057-10.2.0.5811</vt:lpwstr>
  </property>
  <property fmtid="{D5CDD505-2E9C-101B-9397-08002B2CF9AE}" pid="3" name="ContentTypeId">
    <vt:lpwstr>0x010100294FD3978F43D945977F627A2CEE2DCC</vt:lpwstr>
  </property>
  <property fmtid="{D5CDD505-2E9C-101B-9397-08002B2CF9AE}" pid="4" name="MSIP_Label_cfcb905c-755b-4fd4-bd20-0d682d4f1d27_Enabled">
    <vt:lpwstr>true</vt:lpwstr>
  </property>
  <property fmtid="{D5CDD505-2E9C-101B-9397-08002B2CF9AE}" pid="5" name="MSIP_Label_cfcb905c-755b-4fd4-bd20-0d682d4f1d27_SetDate">
    <vt:lpwstr>2020-10-28T13:14:49Z</vt:lpwstr>
  </property>
  <property fmtid="{D5CDD505-2E9C-101B-9397-08002B2CF9AE}" pid="6" name="MSIP_Label_cfcb905c-755b-4fd4-bd20-0d682d4f1d27_Method">
    <vt:lpwstr>Standard</vt:lpwstr>
  </property>
  <property fmtid="{D5CDD505-2E9C-101B-9397-08002B2CF9AE}" pid="7" name="MSIP_Label_cfcb905c-755b-4fd4-bd20-0d682d4f1d27_Name">
    <vt:lpwstr>Internal</vt:lpwstr>
  </property>
  <property fmtid="{D5CDD505-2E9C-101B-9397-08002B2CF9AE}" pid="8" name="MSIP_Label_cfcb905c-755b-4fd4-bd20-0d682d4f1d27_SiteId">
    <vt:lpwstr>d91d5b65-9d38-4908-9bd1-ebc28a01cade</vt:lpwstr>
  </property>
  <property fmtid="{D5CDD505-2E9C-101B-9397-08002B2CF9AE}" pid="9" name="MSIP_Label_cfcb905c-755b-4fd4-bd20-0d682d4f1d27_ActionId">
    <vt:lpwstr>0a8c634c-b067-4c5f-a24a-196dd82fa22a</vt:lpwstr>
  </property>
  <property fmtid="{D5CDD505-2E9C-101B-9397-08002B2CF9AE}" pid="10" name="MSIP_Label_cfcb905c-755b-4fd4-bd20-0d682d4f1d27_ContentBits">
    <vt:lpwstr>0</vt:lpwstr>
  </property>
</Properties>
</file>